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9- SETEMBRO\14  CERGRAL - Godoy\Estrutura\"/>
    </mc:Choice>
  </mc:AlternateContent>
  <xr:revisionPtr revIDLastSave="0" documentId="13_ncr:1_{15539D1B-35D9-4FAB-857B-A554EA5EFA32}" xr6:coauthVersionLast="47" xr6:coauthVersionMax="47" xr10:uidLastSave="{00000000-0000-0000-0000-000000000000}"/>
  <bookViews>
    <workbookView xWindow="-120" yWindow="-120" windowWidth="29040" windowHeight="15840" firstSheet="1" activeTab="1" xr2:uid="{23C02164-3116-4F3C-B5CD-E1A98D9D8428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</sheets>
  <calcPr calcId="191029" iterate="1"/>
  <pivotCaches>
    <pivotCache cacheId="108" r:id="rId28"/>
    <pivotCache cacheId="109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I2" i="27" s="1"/>
  <c r="B2" i="27"/>
  <c r="C2" i="27"/>
  <c r="D2" i="27"/>
  <c r="E2" i="27"/>
  <c r="F2" i="27"/>
  <c r="G2" i="27"/>
  <c r="H2" i="27"/>
  <c r="J2" i="27"/>
  <c r="K2" i="27"/>
  <c r="L2" i="27"/>
  <c r="B11" i="27"/>
  <c r="P11" i="5" l="1"/>
  <c r="P10" i="5"/>
  <c r="P9" i="5"/>
  <c r="R9" i="5" s="1"/>
  <c r="F44" i="5"/>
  <c r="E44" i="5"/>
  <c r="D44" i="5"/>
  <c r="F26" i="5"/>
  <c r="E26" i="5"/>
  <c r="D26" i="5"/>
  <c r="D28" i="5" s="1"/>
  <c r="AL56" i="6" s="1"/>
  <c r="F25" i="5"/>
  <c r="E25" i="5"/>
  <c r="D25" i="5"/>
  <c r="F24" i="5"/>
  <c r="E24" i="5"/>
  <c r="D24" i="5"/>
  <c r="D13" i="5"/>
  <c r="D18" i="5" s="1"/>
  <c r="AB56" i="6" s="1"/>
  <c r="F39" i="5"/>
  <c r="F17" i="5"/>
  <c r="F16" i="5"/>
  <c r="F12" i="5"/>
  <c r="F11" i="5"/>
  <c r="M15" i="5"/>
  <c r="M7" i="5"/>
  <c r="D36" i="5" s="1"/>
  <c r="L5" i="26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R13" i="2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Y8" i="21" s="1"/>
  <c r="AG8" i="21" s="1"/>
  <c r="R8" i="21"/>
  <c r="AE6" i="21"/>
  <c r="AD6" i="21"/>
  <c r="AC6" i="21"/>
  <c r="AB6" i="21"/>
  <c r="AA6" i="21"/>
  <c r="W6" i="21"/>
  <c r="V6" i="21"/>
  <c r="U6" i="21"/>
  <c r="AI6" i="21" s="1"/>
  <c r="T6" i="21"/>
  <c r="S6" i="21"/>
  <c r="R6" i="21"/>
  <c r="X6" i="21" s="1"/>
  <c r="AE5" i="21"/>
  <c r="AD5" i="21"/>
  <c r="AC5" i="21"/>
  <c r="AB5" i="21"/>
  <c r="AA5" i="21"/>
  <c r="W5" i="21"/>
  <c r="V5" i="21"/>
  <c r="U5" i="21"/>
  <c r="T5" i="21"/>
  <c r="S5" i="21"/>
  <c r="Y5" i="21" s="1"/>
  <c r="R5" i="21"/>
  <c r="AE4" i="21"/>
  <c r="AD4" i="21"/>
  <c r="AC4" i="21"/>
  <c r="AB4" i="21"/>
  <c r="AA4" i="21"/>
  <c r="Y4" i="21"/>
  <c r="AG4" i="21" s="1"/>
  <c r="W4" i="21"/>
  <c r="V4" i="21"/>
  <c r="U4" i="21"/>
  <c r="AI4" i="21" s="1"/>
  <c r="T4" i="21"/>
  <c r="S4" i="21"/>
  <c r="R4" i="21"/>
  <c r="AE3" i="21"/>
  <c r="AD3" i="21"/>
  <c r="AC3" i="21"/>
  <c r="AB3" i="21"/>
  <c r="AA3" i="21"/>
  <c r="W3" i="21"/>
  <c r="V3" i="21"/>
  <c r="U3" i="21"/>
  <c r="T3" i="21"/>
  <c r="S3" i="21"/>
  <c r="Y3" i="21" s="1"/>
  <c r="AG3" i="21" s="1"/>
  <c r="R3" i="21"/>
  <c r="X3" i="21" s="1"/>
  <c r="AF3" i="21" s="1"/>
  <c r="J332" i="21"/>
  <c r="J331" i="21"/>
  <c r="M331" i="21" s="1"/>
  <c r="J330" i="21"/>
  <c r="J329" i="21"/>
  <c r="M329" i="21" s="1"/>
  <c r="J328" i="21"/>
  <c r="J327" i="21"/>
  <c r="M327" i="21" s="1"/>
  <c r="J326" i="21"/>
  <c r="M326" i="21" s="1"/>
  <c r="J325" i="21"/>
  <c r="M325" i="21" s="1"/>
  <c r="J324" i="21"/>
  <c r="M324" i="21" s="1"/>
  <c r="J323" i="21"/>
  <c r="J322" i="21"/>
  <c r="J321" i="21"/>
  <c r="M321" i="21" s="1"/>
  <c r="J109" i="21"/>
  <c r="J108" i="21"/>
  <c r="J107" i="21"/>
  <c r="M107" i="21" s="1"/>
  <c r="J106" i="21"/>
  <c r="J105" i="21"/>
  <c r="J104" i="21"/>
  <c r="J103" i="21"/>
  <c r="J102" i="21"/>
  <c r="J101" i="21"/>
  <c r="J100" i="21"/>
  <c r="J99" i="21"/>
  <c r="M99" i="21" s="1"/>
  <c r="J98" i="21"/>
  <c r="L97" i="21"/>
  <c r="K97" i="21"/>
  <c r="L96" i="21"/>
  <c r="K96" i="21"/>
  <c r="L95" i="21"/>
  <c r="K95" i="21"/>
  <c r="L94" i="21"/>
  <c r="O94" i="21" s="1"/>
  <c r="K94" i="21"/>
  <c r="L93" i="21"/>
  <c r="K93" i="21"/>
  <c r="L92" i="21"/>
  <c r="K92" i="21"/>
  <c r="L91" i="21"/>
  <c r="K91" i="21"/>
  <c r="L90" i="21"/>
  <c r="O90" i="21" s="1"/>
  <c r="K90" i="21"/>
  <c r="L89" i="21"/>
  <c r="K89" i="21"/>
  <c r="L88" i="21"/>
  <c r="K88" i="21"/>
  <c r="L87" i="21"/>
  <c r="K87" i="21"/>
  <c r="L86" i="21"/>
  <c r="O86" i="21" s="1"/>
  <c r="K86" i="21"/>
  <c r="J85" i="21"/>
  <c r="J84" i="21"/>
  <c r="J83" i="21"/>
  <c r="J82" i="21"/>
  <c r="J81" i="21"/>
  <c r="J80" i="21"/>
  <c r="J79" i="21"/>
  <c r="M79" i="21" s="1"/>
  <c r="J78" i="21"/>
  <c r="J77" i="21"/>
  <c r="J76" i="21"/>
  <c r="J75" i="21"/>
  <c r="J74" i="21"/>
  <c r="J345" i="21"/>
  <c r="M345" i="21" s="1"/>
  <c r="J344" i="21"/>
  <c r="M344" i="21" s="1"/>
  <c r="M343" i="21"/>
  <c r="J343" i="21"/>
  <c r="J342" i="21"/>
  <c r="M342" i="21" s="1"/>
  <c r="J341" i="21"/>
  <c r="M341" i="21" s="1"/>
  <c r="J340" i="21"/>
  <c r="M340" i="21" s="1"/>
  <c r="J339" i="21"/>
  <c r="M339" i="21" s="1"/>
  <c r="M338" i="21"/>
  <c r="J338" i="21"/>
  <c r="J337" i="21"/>
  <c r="M337" i="21" s="1"/>
  <c r="M336" i="21"/>
  <c r="J336" i="21"/>
  <c r="J335" i="21"/>
  <c r="M335" i="21" s="1"/>
  <c r="J334" i="21"/>
  <c r="M334" i="21" s="1"/>
  <c r="J333" i="21"/>
  <c r="M332" i="21"/>
  <c r="M330" i="21"/>
  <c r="M328" i="21"/>
  <c r="M323" i="21"/>
  <c r="M322" i="21"/>
  <c r="M320" i="21"/>
  <c r="J320" i="21"/>
  <c r="J319" i="21"/>
  <c r="M319" i="21" s="1"/>
  <c r="J318" i="21"/>
  <c r="M318" i="21" s="1"/>
  <c r="J317" i="21"/>
  <c r="M317" i="21" s="1"/>
  <c r="J316" i="21"/>
  <c r="M316" i="21" s="1"/>
  <c r="J315" i="21"/>
  <c r="M315" i="21" s="1"/>
  <c r="J314" i="21"/>
  <c r="M314" i="21" s="1"/>
  <c r="M313" i="21"/>
  <c r="J313" i="21"/>
  <c r="J312" i="21"/>
  <c r="M312" i="21" s="1"/>
  <c r="J311" i="21"/>
  <c r="M311" i="21" s="1"/>
  <c r="M310" i="21"/>
  <c r="J310" i="21"/>
  <c r="J309" i="21"/>
  <c r="M309" i="21" s="1"/>
  <c r="M308" i="21"/>
  <c r="J308" i="21"/>
  <c r="J307" i="21"/>
  <c r="M307" i="21" s="1"/>
  <c r="J306" i="21"/>
  <c r="M306" i="21" s="1"/>
  <c r="J305" i="21"/>
  <c r="M305" i="21" s="1"/>
  <c r="J304" i="21"/>
  <c r="M304" i="21" s="1"/>
  <c r="J303" i="21"/>
  <c r="M303" i="21" s="1"/>
  <c r="M302" i="21"/>
  <c r="J302" i="21"/>
  <c r="J301" i="21"/>
  <c r="M301" i="21" s="1"/>
  <c r="J300" i="21"/>
  <c r="M300" i="21" s="1"/>
  <c r="J299" i="21"/>
  <c r="M299" i="21" s="1"/>
  <c r="J298" i="21"/>
  <c r="M298" i="21" s="1"/>
  <c r="M297" i="21"/>
  <c r="J297" i="21"/>
  <c r="J296" i="21"/>
  <c r="M296" i="21" s="1"/>
  <c r="J295" i="21"/>
  <c r="M295" i="21" s="1"/>
  <c r="M294" i="21"/>
  <c r="J294" i="21"/>
  <c r="J293" i="21"/>
  <c r="M293" i="21" s="1"/>
  <c r="M292" i="21"/>
  <c r="J292" i="21"/>
  <c r="J291" i="21"/>
  <c r="M291" i="21" s="1"/>
  <c r="J290" i="21"/>
  <c r="M290" i="21" s="1"/>
  <c r="J289" i="21"/>
  <c r="M289" i="21" s="1"/>
  <c r="J288" i="21"/>
  <c r="M288" i="21" s="1"/>
  <c r="J287" i="21"/>
  <c r="M287" i="21" s="1"/>
  <c r="M286" i="21"/>
  <c r="J286" i="21"/>
  <c r="J285" i="21"/>
  <c r="M285" i="21" s="1"/>
  <c r="J284" i="21"/>
  <c r="M284" i="21" s="1"/>
  <c r="J283" i="21"/>
  <c r="M283" i="21" s="1"/>
  <c r="M282" i="21"/>
  <c r="J282" i="21"/>
  <c r="J281" i="21"/>
  <c r="M281" i="21" s="1"/>
  <c r="J280" i="21"/>
  <c r="M280" i="21" s="1"/>
  <c r="J279" i="21"/>
  <c r="M279" i="21" s="1"/>
  <c r="J278" i="21"/>
  <c r="M278" i="21" s="1"/>
  <c r="J277" i="21"/>
  <c r="M277" i="21" s="1"/>
  <c r="J276" i="21"/>
  <c r="M276" i="21" s="1"/>
  <c r="M275" i="21"/>
  <c r="J275" i="21"/>
  <c r="J274" i="21"/>
  <c r="M274" i="21" s="1"/>
  <c r="J273" i="21"/>
  <c r="M273" i="21" s="1"/>
  <c r="J272" i="21"/>
  <c r="M272" i="21" s="1"/>
  <c r="M271" i="21"/>
  <c r="J271" i="21"/>
  <c r="M270" i="21"/>
  <c r="J270" i="21"/>
  <c r="J269" i="21"/>
  <c r="M269" i="21" s="1"/>
  <c r="J268" i="21"/>
  <c r="M268" i="21" s="1"/>
  <c r="M267" i="21"/>
  <c r="J267" i="21"/>
  <c r="M266" i="21"/>
  <c r="J266" i="21"/>
  <c r="J265" i="21"/>
  <c r="M265" i="21" s="1"/>
  <c r="J264" i="21"/>
  <c r="M264" i="21" s="1"/>
  <c r="J263" i="21"/>
  <c r="M263" i="21" s="1"/>
  <c r="M262" i="21"/>
  <c r="J262" i="21"/>
  <c r="J261" i="21"/>
  <c r="M261" i="21" s="1"/>
  <c r="J260" i="21"/>
  <c r="M260" i="21" s="1"/>
  <c r="J259" i="21"/>
  <c r="M259" i="21" s="1"/>
  <c r="J258" i="21"/>
  <c r="M258" i="21" s="1"/>
  <c r="M257" i="21"/>
  <c r="J257" i="21"/>
  <c r="J256" i="21"/>
  <c r="M256" i="21" s="1"/>
  <c r="M255" i="21"/>
  <c r="J255" i="21"/>
  <c r="J254" i="21"/>
  <c r="M254" i="21" s="1"/>
  <c r="M253" i="21"/>
  <c r="J253" i="21"/>
  <c r="J252" i="21"/>
  <c r="M252" i="21" s="1"/>
  <c r="M251" i="21"/>
  <c r="J251" i="21"/>
  <c r="J250" i="21"/>
  <c r="M250" i="21" s="1"/>
  <c r="J249" i="21"/>
  <c r="M249" i="21" s="1"/>
  <c r="J248" i="21"/>
  <c r="J247" i="21"/>
  <c r="M247" i="21" s="1"/>
  <c r="M246" i="21"/>
  <c r="J246" i="21"/>
  <c r="J245" i="21"/>
  <c r="M245" i="21" s="1"/>
  <c r="J244" i="21"/>
  <c r="M244" i="21" s="1"/>
  <c r="J243" i="21"/>
  <c r="M243" i="21" s="1"/>
  <c r="J242" i="21"/>
  <c r="M242" i="21" s="1"/>
  <c r="J241" i="21"/>
  <c r="M241" i="21" s="1"/>
  <c r="J240" i="21"/>
  <c r="M240" i="21" s="1"/>
  <c r="J239" i="21"/>
  <c r="M239" i="21" s="1"/>
  <c r="J238" i="21"/>
  <c r="M238" i="21" s="1"/>
  <c r="J237" i="21"/>
  <c r="M237" i="21" s="1"/>
  <c r="J236" i="21"/>
  <c r="M236" i="21" s="1"/>
  <c r="M235" i="21"/>
  <c r="J235" i="21"/>
  <c r="J234" i="21"/>
  <c r="M234" i="21" s="1"/>
  <c r="J233" i="21"/>
  <c r="M233" i="21" s="1"/>
  <c r="J232" i="21"/>
  <c r="M232" i="21" s="1"/>
  <c r="J231" i="21"/>
  <c r="M231" i="21" s="1"/>
  <c r="M230" i="21"/>
  <c r="J230" i="21"/>
  <c r="J229" i="21"/>
  <c r="M229" i="21" s="1"/>
  <c r="J228" i="21"/>
  <c r="M228" i="21" s="1"/>
  <c r="J227" i="21"/>
  <c r="M227" i="21" s="1"/>
  <c r="J226" i="21"/>
  <c r="M226" i="21" s="1"/>
  <c r="J225" i="21"/>
  <c r="M225" i="21" s="1"/>
  <c r="J224" i="21"/>
  <c r="M224" i="21" s="1"/>
  <c r="J223" i="21"/>
  <c r="M223" i="21" s="1"/>
  <c r="J222" i="21"/>
  <c r="M222" i="21" s="1"/>
  <c r="J221" i="21"/>
  <c r="M221" i="21" s="1"/>
  <c r="J220" i="21"/>
  <c r="M220" i="21" s="1"/>
  <c r="M219" i="21"/>
  <c r="J219" i="21"/>
  <c r="J218" i="21"/>
  <c r="M218" i="21" s="1"/>
  <c r="J217" i="21"/>
  <c r="M217" i="21" s="1"/>
  <c r="J216" i="21"/>
  <c r="M216" i="21" s="1"/>
  <c r="J215" i="21"/>
  <c r="M215" i="21" s="1"/>
  <c r="M214" i="21"/>
  <c r="J214" i="21"/>
  <c r="J213" i="21"/>
  <c r="M213" i="21" s="1"/>
  <c r="J212" i="21"/>
  <c r="M212" i="21" s="1"/>
  <c r="J211" i="21"/>
  <c r="M211" i="21" s="1"/>
  <c r="J210" i="21"/>
  <c r="M210" i="21" s="1"/>
  <c r="M209" i="21"/>
  <c r="J209" i="21"/>
  <c r="J208" i="21"/>
  <c r="M208" i="21" s="1"/>
  <c r="J207" i="21"/>
  <c r="M207" i="21" s="1"/>
  <c r="J206" i="21"/>
  <c r="M206" i="21" s="1"/>
  <c r="J205" i="21"/>
  <c r="M205" i="21" s="1"/>
  <c r="J204" i="21"/>
  <c r="M204" i="21" s="1"/>
  <c r="J203" i="21"/>
  <c r="M203" i="21" s="1"/>
  <c r="J202" i="21"/>
  <c r="M202" i="21" s="1"/>
  <c r="M201" i="21"/>
  <c r="J201" i="21"/>
  <c r="J200" i="21"/>
  <c r="M200" i="21" s="1"/>
  <c r="J199" i="21"/>
  <c r="M199" i="21" s="1"/>
  <c r="M198" i="21"/>
  <c r="J198" i="21"/>
  <c r="M197" i="21"/>
  <c r="J197" i="21"/>
  <c r="M196" i="21"/>
  <c r="J196" i="21"/>
  <c r="J195" i="21"/>
  <c r="M195" i="21" s="1"/>
  <c r="J194" i="21"/>
  <c r="M194" i="21" s="1"/>
  <c r="J193" i="21"/>
  <c r="M193" i="21" s="1"/>
  <c r="J192" i="21"/>
  <c r="M192" i="21" s="1"/>
  <c r="J191" i="21"/>
  <c r="M191" i="21" s="1"/>
  <c r="J190" i="21"/>
  <c r="J189" i="21"/>
  <c r="M189" i="21" s="1"/>
  <c r="J188" i="21"/>
  <c r="M188" i="21" s="1"/>
  <c r="J187" i="21"/>
  <c r="M187" i="21" s="1"/>
  <c r="M186" i="21"/>
  <c r="J186" i="21"/>
  <c r="M185" i="21"/>
  <c r="J185" i="21"/>
  <c r="J184" i="21"/>
  <c r="M184" i="21" s="1"/>
  <c r="M183" i="21"/>
  <c r="J183" i="21"/>
  <c r="J182" i="21"/>
  <c r="M182" i="21" s="1"/>
  <c r="J181" i="21"/>
  <c r="M181" i="21" s="1"/>
  <c r="J180" i="21"/>
  <c r="M180" i="21" s="1"/>
  <c r="J179" i="21"/>
  <c r="M179" i="21" s="1"/>
  <c r="J178" i="21"/>
  <c r="M178" i="21" s="1"/>
  <c r="M177" i="21"/>
  <c r="J177" i="21"/>
  <c r="M176" i="21"/>
  <c r="J176" i="21"/>
  <c r="M175" i="21"/>
  <c r="J175" i="21"/>
  <c r="J174" i="21"/>
  <c r="M174" i="21" s="1"/>
  <c r="J173" i="21"/>
  <c r="M173" i="21" s="1"/>
  <c r="J172" i="21"/>
  <c r="M172" i="21" s="1"/>
  <c r="J171" i="21"/>
  <c r="M171" i="21" s="1"/>
  <c r="M170" i="21"/>
  <c r="J170" i="21"/>
  <c r="J169" i="21"/>
  <c r="M169" i="21" s="1"/>
  <c r="J168" i="21"/>
  <c r="M168" i="21" s="1"/>
  <c r="J167" i="21"/>
  <c r="M167" i="21" s="1"/>
  <c r="J166" i="21"/>
  <c r="M166" i="21" s="1"/>
  <c r="J165" i="21"/>
  <c r="M165" i="21" s="1"/>
  <c r="J164" i="21"/>
  <c r="M164" i="21" s="1"/>
  <c r="J163" i="21"/>
  <c r="M163" i="21" s="1"/>
  <c r="J162" i="21"/>
  <c r="M162" i="21" s="1"/>
  <c r="J161" i="21"/>
  <c r="M161" i="21" s="1"/>
  <c r="M160" i="21"/>
  <c r="J160" i="21"/>
  <c r="J159" i="21"/>
  <c r="M159" i="21" s="1"/>
  <c r="J158" i="21"/>
  <c r="M158" i="21" s="1"/>
  <c r="J157" i="21"/>
  <c r="M157" i="21" s="1"/>
  <c r="M156" i="21"/>
  <c r="J156" i="21"/>
  <c r="J155" i="21"/>
  <c r="M155" i="21" s="1"/>
  <c r="J154" i="21"/>
  <c r="M154" i="21" s="1"/>
  <c r="J153" i="21"/>
  <c r="M153" i="21" s="1"/>
  <c r="M152" i="21"/>
  <c r="J152" i="21"/>
  <c r="J151" i="21"/>
  <c r="M151" i="21" s="1"/>
  <c r="J150" i="21"/>
  <c r="M150" i="21" s="1"/>
  <c r="J149" i="21"/>
  <c r="M149" i="21" s="1"/>
  <c r="M148" i="21"/>
  <c r="J148" i="21"/>
  <c r="J147" i="21"/>
  <c r="M147" i="21" s="1"/>
  <c r="J146" i="21"/>
  <c r="M146" i="21" s="1"/>
  <c r="J145" i="21"/>
  <c r="M145" i="21" s="1"/>
  <c r="M144" i="21"/>
  <c r="J144" i="21"/>
  <c r="J143" i="21"/>
  <c r="M143" i="21" s="1"/>
  <c r="J142" i="21"/>
  <c r="M142" i="21" s="1"/>
  <c r="J141" i="21"/>
  <c r="M141" i="21" s="1"/>
  <c r="M140" i="21"/>
  <c r="J140" i="21"/>
  <c r="J139" i="21"/>
  <c r="M139" i="21" s="1"/>
  <c r="J138" i="21"/>
  <c r="M138" i="21" s="1"/>
  <c r="M137" i="21"/>
  <c r="J137" i="21"/>
  <c r="M136" i="21"/>
  <c r="J136" i="21"/>
  <c r="J135" i="21"/>
  <c r="M135" i="21" s="1"/>
  <c r="J134" i="21"/>
  <c r="M134" i="21" s="1"/>
  <c r="J133" i="21"/>
  <c r="M133" i="21" s="1"/>
  <c r="J132" i="21"/>
  <c r="M132" i="21" s="1"/>
  <c r="J131" i="21"/>
  <c r="M131" i="21" s="1"/>
  <c r="M130" i="21"/>
  <c r="J130" i="21"/>
  <c r="J129" i="21"/>
  <c r="M129" i="21" s="1"/>
  <c r="M128" i="21"/>
  <c r="J128" i="21"/>
  <c r="J127" i="21"/>
  <c r="M127" i="21" s="1"/>
  <c r="M126" i="21"/>
  <c r="J126" i="21"/>
  <c r="J125" i="21"/>
  <c r="M125" i="21" s="1"/>
  <c r="J124" i="21"/>
  <c r="M124" i="21" s="1"/>
  <c r="J123" i="21"/>
  <c r="M123" i="21" s="1"/>
  <c r="M122" i="21"/>
  <c r="J122" i="21"/>
  <c r="M121" i="21"/>
  <c r="J121" i="21"/>
  <c r="J120" i="21"/>
  <c r="M120" i="21" s="1"/>
  <c r="J119" i="21"/>
  <c r="M119" i="21" s="1"/>
  <c r="J118" i="21"/>
  <c r="M118" i="21" s="1"/>
  <c r="M117" i="21"/>
  <c r="J117" i="21"/>
  <c r="J116" i="21"/>
  <c r="M116" i="21" s="1"/>
  <c r="J115" i="21"/>
  <c r="M115" i="21" s="1"/>
  <c r="M114" i="21"/>
  <c r="J114" i="21"/>
  <c r="M113" i="21"/>
  <c r="J113" i="21"/>
  <c r="M112" i="21"/>
  <c r="J112" i="21"/>
  <c r="J111" i="21"/>
  <c r="M111" i="21" s="1"/>
  <c r="J110" i="21"/>
  <c r="M110" i="21" s="1"/>
  <c r="M109" i="21"/>
  <c r="M108" i="21"/>
  <c r="M106" i="21"/>
  <c r="M105" i="21"/>
  <c r="M104" i="21"/>
  <c r="M103" i="21"/>
  <c r="M102" i="21"/>
  <c r="M101" i="21"/>
  <c r="M100" i="21"/>
  <c r="M98" i="21"/>
  <c r="O97" i="21"/>
  <c r="N97" i="21"/>
  <c r="O96" i="21"/>
  <c r="N96" i="21"/>
  <c r="O95" i="21"/>
  <c r="N95" i="21"/>
  <c r="N94" i="21"/>
  <c r="O93" i="21"/>
  <c r="N93" i="21"/>
  <c r="O92" i="21"/>
  <c r="N92" i="21"/>
  <c r="O91" i="21"/>
  <c r="N91" i="21"/>
  <c r="N90" i="21"/>
  <c r="O89" i="21"/>
  <c r="N89" i="21"/>
  <c r="O88" i="21"/>
  <c r="N88" i="21"/>
  <c r="O87" i="21"/>
  <c r="N87" i="21"/>
  <c r="N86" i="21"/>
  <c r="M85" i="21"/>
  <c r="M84" i="21"/>
  <c r="M83" i="21"/>
  <c r="M82" i="21"/>
  <c r="M81" i="21"/>
  <c r="M80" i="21"/>
  <c r="M78" i="21"/>
  <c r="M77" i="21"/>
  <c r="M76" i="21"/>
  <c r="M75" i="21"/>
  <c r="M74" i="21"/>
  <c r="J73" i="21"/>
  <c r="M73" i="21" s="1"/>
  <c r="M72" i="21"/>
  <c r="J72" i="21"/>
  <c r="M71" i="21"/>
  <c r="J71" i="21"/>
  <c r="J70" i="21"/>
  <c r="M70" i="21" s="1"/>
  <c r="J69" i="21"/>
  <c r="M69" i="21" s="1"/>
  <c r="J68" i="21"/>
  <c r="M68" i="21" s="1"/>
  <c r="M67" i="21"/>
  <c r="J67" i="21"/>
  <c r="J66" i="21"/>
  <c r="M66" i="21" s="1"/>
  <c r="J65" i="21"/>
  <c r="M65" i="21" s="1"/>
  <c r="M64" i="21"/>
  <c r="J64" i="21"/>
  <c r="M63" i="21"/>
  <c r="J63" i="21"/>
  <c r="M62" i="21"/>
  <c r="J62" i="21"/>
  <c r="L61" i="21"/>
  <c r="O61" i="21" s="1"/>
  <c r="K61" i="21"/>
  <c r="N61" i="21" s="1"/>
  <c r="L60" i="21"/>
  <c r="O60" i="21" s="1"/>
  <c r="K60" i="21"/>
  <c r="N60" i="21" s="1"/>
  <c r="L59" i="21"/>
  <c r="O59" i="21" s="1"/>
  <c r="K59" i="21"/>
  <c r="N59" i="21" s="1"/>
  <c r="L58" i="21"/>
  <c r="O58" i="21" s="1"/>
  <c r="K58" i="21"/>
  <c r="N58" i="21" s="1"/>
  <c r="O57" i="21"/>
  <c r="L57" i="21"/>
  <c r="K57" i="21"/>
  <c r="N57" i="21" s="1"/>
  <c r="L56" i="21"/>
  <c r="O56" i="21" s="1"/>
  <c r="K56" i="21"/>
  <c r="N56" i="21" s="1"/>
  <c r="O55" i="21"/>
  <c r="N55" i="21"/>
  <c r="L55" i="21"/>
  <c r="K55" i="21"/>
  <c r="L54" i="21"/>
  <c r="O54" i="21" s="1"/>
  <c r="K54" i="21"/>
  <c r="N54" i="21" s="1"/>
  <c r="L53" i="21"/>
  <c r="O53" i="21" s="1"/>
  <c r="K53" i="21"/>
  <c r="N53" i="21" s="1"/>
  <c r="L52" i="21"/>
  <c r="O52" i="21" s="1"/>
  <c r="K52" i="21"/>
  <c r="N52" i="21" s="1"/>
  <c r="L51" i="21"/>
  <c r="O51" i="21" s="1"/>
  <c r="K51" i="21"/>
  <c r="N51" i="21" s="1"/>
  <c r="L50" i="21"/>
  <c r="O50" i="21" s="1"/>
  <c r="K50" i="21"/>
  <c r="N50" i="21" s="1"/>
  <c r="J49" i="21"/>
  <c r="M49" i="21" s="1"/>
  <c r="M48" i="21"/>
  <c r="J48" i="21"/>
  <c r="J47" i="21"/>
  <c r="M47" i="21" s="1"/>
  <c r="J46" i="21"/>
  <c r="M46" i="21" s="1"/>
  <c r="J45" i="21"/>
  <c r="M45" i="21" s="1"/>
  <c r="M44" i="21"/>
  <c r="J44" i="21"/>
  <c r="M43" i="21"/>
  <c r="J43" i="21"/>
  <c r="J42" i="21"/>
  <c r="M42" i="21" s="1"/>
  <c r="J41" i="21"/>
  <c r="M41" i="21" s="1"/>
  <c r="J40" i="21"/>
  <c r="M40" i="21" s="1"/>
  <c r="M39" i="21"/>
  <c r="J39" i="21"/>
  <c r="J38" i="21"/>
  <c r="M38" i="21" s="1"/>
  <c r="J37" i="21"/>
  <c r="M37" i="21" s="1"/>
  <c r="M36" i="21"/>
  <c r="J36" i="21"/>
  <c r="M35" i="21"/>
  <c r="J35" i="21"/>
  <c r="M34" i="21"/>
  <c r="J34" i="21"/>
  <c r="J33" i="21"/>
  <c r="M33" i="21" s="1"/>
  <c r="J32" i="21"/>
  <c r="M32" i="21" s="1"/>
  <c r="J31" i="21"/>
  <c r="M31" i="21" s="1"/>
  <c r="M30" i="21"/>
  <c r="J30" i="21"/>
  <c r="J29" i="21"/>
  <c r="M29" i="21" s="1"/>
  <c r="J28" i="21"/>
  <c r="M28" i="21" s="1"/>
  <c r="J27" i="21"/>
  <c r="M27" i="21" s="1"/>
  <c r="M26" i="21"/>
  <c r="J26" i="21"/>
  <c r="O25" i="21"/>
  <c r="L25" i="21"/>
  <c r="K25" i="21"/>
  <c r="N25" i="21" s="1"/>
  <c r="L24" i="21"/>
  <c r="O24" i="21" s="1"/>
  <c r="K24" i="21"/>
  <c r="N24" i="21" s="1"/>
  <c r="N23" i="21"/>
  <c r="L23" i="21"/>
  <c r="O23" i="21" s="1"/>
  <c r="K23" i="21"/>
  <c r="L22" i="21"/>
  <c r="O22" i="21" s="1"/>
  <c r="K22" i="21"/>
  <c r="N22" i="21" s="1"/>
  <c r="L21" i="21"/>
  <c r="O21" i="21" s="1"/>
  <c r="K21" i="21"/>
  <c r="N21" i="21" s="1"/>
  <c r="L20" i="21"/>
  <c r="O20" i="21" s="1"/>
  <c r="K20" i="21"/>
  <c r="N20" i="21" s="1"/>
  <c r="O19" i="21"/>
  <c r="L19" i="21"/>
  <c r="K19" i="21"/>
  <c r="N19" i="21" s="1"/>
  <c r="L18" i="21"/>
  <c r="O18" i="21" s="1"/>
  <c r="K18" i="21"/>
  <c r="N18" i="21" s="1"/>
  <c r="L17" i="21"/>
  <c r="O17" i="21" s="1"/>
  <c r="K17" i="21"/>
  <c r="N17" i="21" s="1"/>
  <c r="L16" i="21"/>
  <c r="O16" i="21" s="1"/>
  <c r="K16" i="21"/>
  <c r="N16" i="21" s="1"/>
  <c r="L15" i="21"/>
  <c r="O15" i="21" s="1"/>
  <c r="K15" i="21"/>
  <c r="N15" i="21" s="1"/>
  <c r="N14" i="21"/>
  <c r="L14" i="21"/>
  <c r="O14" i="21" s="1"/>
  <c r="K14" i="21"/>
  <c r="J13" i="21"/>
  <c r="M13" i="21" s="1"/>
  <c r="J12" i="21"/>
  <c r="M12" i="21" s="1"/>
  <c r="J11" i="21"/>
  <c r="M11" i="21" s="1"/>
  <c r="J10" i="21"/>
  <c r="M10" i="21" s="1"/>
  <c r="J9" i="21"/>
  <c r="M9" i="21" s="1"/>
  <c r="J8" i="21"/>
  <c r="M8" i="21" s="1"/>
  <c r="M7" i="21"/>
  <c r="J7" i="21"/>
  <c r="J6" i="21"/>
  <c r="M6" i="21" s="1"/>
  <c r="J5" i="21"/>
  <c r="M5" i="21" s="1"/>
  <c r="J4" i="21"/>
  <c r="M4" i="21" s="1"/>
  <c r="J3" i="21"/>
  <c r="M3" i="21" s="1"/>
  <c r="J2" i="21"/>
  <c r="M2" i="21" s="1"/>
  <c r="X332" i="16"/>
  <c r="W332" i="16"/>
  <c r="X331" i="16"/>
  <c r="W331" i="16"/>
  <c r="X330" i="16"/>
  <c r="W330" i="16"/>
  <c r="X329" i="16"/>
  <c r="W329" i="16"/>
  <c r="X328" i="16"/>
  <c r="W328" i="16"/>
  <c r="X327" i="16"/>
  <c r="W327" i="16"/>
  <c r="X326" i="16"/>
  <c r="W326" i="16"/>
  <c r="X325" i="16"/>
  <c r="W325" i="16"/>
  <c r="X324" i="16"/>
  <c r="W324" i="16"/>
  <c r="X323" i="16"/>
  <c r="W323" i="16"/>
  <c r="X322" i="16"/>
  <c r="W322" i="16"/>
  <c r="X321" i="16"/>
  <c r="W321" i="16"/>
  <c r="AD156" i="17"/>
  <c r="X156" i="17"/>
  <c r="W156" i="17"/>
  <c r="AD155" i="17"/>
  <c r="X155" i="17"/>
  <c r="W155" i="17"/>
  <c r="AD154" i="17"/>
  <c r="X154" i="17"/>
  <c r="W154" i="17"/>
  <c r="AD153" i="17"/>
  <c r="X153" i="17"/>
  <c r="W153" i="17"/>
  <c r="AD152" i="17"/>
  <c r="X152" i="17"/>
  <c r="W152" i="17"/>
  <c r="AD151" i="17"/>
  <c r="X151" i="17"/>
  <c r="W151" i="17"/>
  <c r="AD150" i="17"/>
  <c r="X150" i="17"/>
  <c r="W150" i="17"/>
  <c r="AD149" i="17"/>
  <c r="X149" i="17"/>
  <c r="W149" i="17"/>
  <c r="AD148" i="17"/>
  <c r="X148" i="17"/>
  <c r="W148" i="17"/>
  <c r="AD147" i="17"/>
  <c r="X147" i="17"/>
  <c r="W147" i="17"/>
  <c r="AD146" i="17"/>
  <c r="X146" i="17"/>
  <c r="W146" i="17"/>
  <c r="AD145" i="17"/>
  <c r="X145" i="17"/>
  <c r="W145" i="17"/>
  <c r="X109" i="16"/>
  <c r="W109" i="16"/>
  <c r="X108" i="16"/>
  <c r="W108" i="16"/>
  <c r="X107" i="16"/>
  <c r="W107" i="16"/>
  <c r="X106" i="16"/>
  <c r="W106" i="16"/>
  <c r="X105" i="16"/>
  <c r="W105" i="16"/>
  <c r="X104" i="16"/>
  <c r="W104" i="16"/>
  <c r="X103" i="16"/>
  <c r="W103" i="16"/>
  <c r="X102" i="16"/>
  <c r="W102" i="16"/>
  <c r="X101" i="16"/>
  <c r="W101" i="16"/>
  <c r="X100" i="16"/>
  <c r="W100" i="16"/>
  <c r="X99" i="16"/>
  <c r="W99" i="16"/>
  <c r="X98" i="16"/>
  <c r="W98" i="16"/>
  <c r="V97" i="16"/>
  <c r="V96" i="16"/>
  <c r="V95" i="16"/>
  <c r="V94" i="16"/>
  <c r="V93" i="16"/>
  <c r="V92" i="16"/>
  <c r="V91" i="16"/>
  <c r="V90" i="16"/>
  <c r="V89" i="16"/>
  <c r="V88" i="16"/>
  <c r="V87" i="16"/>
  <c r="V86" i="16"/>
  <c r="X85" i="16"/>
  <c r="W85" i="16"/>
  <c r="X84" i="16"/>
  <c r="W84" i="16"/>
  <c r="X83" i="16"/>
  <c r="W83" i="16"/>
  <c r="X82" i="16"/>
  <c r="W82" i="16"/>
  <c r="X81" i="16"/>
  <c r="W81" i="16"/>
  <c r="X80" i="16"/>
  <c r="W80" i="16"/>
  <c r="X79" i="16"/>
  <c r="W79" i="16"/>
  <c r="X78" i="16"/>
  <c r="W78" i="16"/>
  <c r="X77" i="16"/>
  <c r="W77" i="16"/>
  <c r="X76" i="16"/>
  <c r="W76" i="16"/>
  <c r="X75" i="16"/>
  <c r="W75" i="16"/>
  <c r="X74" i="16"/>
  <c r="W74" i="16"/>
  <c r="AD37" i="17"/>
  <c r="X37" i="17"/>
  <c r="W37" i="17"/>
  <c r="AD36" i="17"/>
  <c r="X36" i="17"/>
  <c r="W36" i="17"/>
  <c r="AD35" i="17"/>
  <c r="X35" i="17"/>
  <c r="W35" i="17"/>
  <c r="AD34" i="17"/>
  <c r="X34" i="17"/>
  <c r="W34" i="17"/>
  <c r="AD33" i="17"/>
  <c r="X33" i="17"/>
  <c r="W33" i="17"/>
  <c r="AD32" i="17"/>
  <c r="X32" i="17"/>
  <c r="W32" i="17"/>
  <c r="AD31" i="17"/>
  <c r="X31" i="17"/>
  <c r="W31" i="17"/>
  <c r="AD30" i="17"/>
  <c r="X30" i="17"/>
  <c r="W30" i="17"/>
  <c r="AD29" i="17"/>
  <c r="X29" i="17"/>
  <c r="W29" i="17"/>
  <c r="AD28" i="17"/>
  <c r="X28" i="17"/>
  <c r="W28" i="17"/>
  <c r="AD27" i="17"/>
  <c r="X27" i="17"/>
  <c r="W27" i="17"/>
  <c r="AD26" i="17"/>
  <c r="X26" i="17"/>
  <c r="W26" i="17"/>
  <c r="AE25" i="17"/>
  <c r="V25" i="17"/>
  <c r="AB25" i="17" s="1"/>
  <c r="AE24" i="17"/>
  <c r="V24" i="17"/>
  <c r="AB24" i="17" s="1"/>
  <c r="AE23" i="17"/>
  <c r="AB23" i="17"/>
  <c r="V23" i="17"/>
  <c r="AE22" i="17"/>
  <c r="V22" i="17"/>
  <c r="AB22" i="17" s="1"/>
  <c r="AE21" i="17"/>
  <c r="V21" i="17"/>
  <c r="AB21" i="17" s="1"/>
  <c r="AE20" i="17"/>
  <c r="V20" i="17"/>
  <c r="AB20" i="17" s="1"/>
  <c r="AE19" i="17"/>
  <c r="V19" i="17"/>
  <c r="AB19" i="17" s="1"/>
  <c r="AE18" i="17"/>
  <c r="V18" i="17"/>
  <c r="AB18" i="17" s="1"/>
  <c r="AE17" i="17"/>
  <c r="V17" i="17"/>
  <c r="AB17" i="17" s="1"/>
  <c r="AE16" i="17"/>
  <c r="V16" i="17"/>
  <c r="AB16" i="17" s="1"/>
  <c r="AE15" i="17"/>
  <c r="AB15" i="17"/>
  <c r="V15" i="17"/>
  <c r="AE14" i="17"/>
  <c r="V14" i="17"/>
  <c r="AB14" i="17" s="1"/>
  <c r="AD13" i="17"/>
  <c r="X13" i="17"/>
  <c r="W13" i="17"/>
  <c r="AC13" i="17" s="1"/>
  <c r="AD12" i="17"/>
  <c r="X12" i="17"/>
  <c r="W12" i="17"/>
  <c r="AC12" i="17" s="1"/>
  <c r="AD11" i="17"/>
  <c r="AB11" i="17"/>
  <c r="X11" i="17"/>
  <c r="W11" i="17"/>
  <c r="AC11" i="17" s="1"/>
  <c r="AD10" i="17"/>
  <c r="X10" i="17"/>
  <c r="W10" i="17"/>
  <c r="AC10" i="17" s="1"/>
  <c r="AD9" i="17"/>
  <c r="X9" i="17"/>
  <c r="W9" i="17"/>
  <c r="AC9" i="17" s="1"/>
  <c r="AD8" i="17"/>
  <c r="X8" i="17"/>
  <c r="W8" i="17"/>
  <c r="AC8" i="17" s="1"/>
  <c r="AD7" i="17"/>
  <c r="X7" i="17"/>
  <c r="W7" i="17"/>
  <c r="AC7" i="17" s="1"/>
  <c r="AD6" i="17"/>
  <c r="X6" i="17"/>
  <c r="W6" i="17"/>
  <c r="AC6" i="17" s="1"/>
  <c r="AD5" i="17"/>
  <c r="X5" i="17"/>
  <c r="W5" i="17"/>
  <c r="AC5" i="17" s="1"/>
  <c r="AD4" i="17"/>
  <c r="X4" i="17"/>
  <c r="W4" i="17"/>
  <c r="AC4" i="17" s="1"/>
  <c r="AD3" i="17"/>
  <c r="AB3" i="17"/>
  <c r="X3" i="17"/>
  <c r="W3" i="17"/>
  <c r="AC3" i="17" s="1"/>
  <c r="AD2" i="17"/>
  <c r="X2" i="17"/>
  <c r="W2" i="17"/>
  <c r="AC2" i="17" s="1"/>
  <c r="M40" i="5"/>
  <c r="M39" i="5"/>
  <c r="M38" i="5"/>
  <c r="AJ9" i="17"/>
  <c r="AI9" i="17"/>
  <c r="AJ4" i="17"/>
  <c r="AI4" i="17"/>
  <c r="AJ3" i="17"/>
  <c r="AI3" i="17"/>
  <c r="AJ2" i="17"/>
  <c r="AI2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V156" i="17"/>
  <c r="AB156" i="17" s="1"/>
  <c r="V155" i="17"/>
  <c r="AB155" i="17" s="1"/>
  <c r="V154" i="17"/>
  <c r="AB154" i="17" s="1"/>
  <c r="V153" i="17"/>
  <c r="AB153" i="17" s="1"/>
  <c r="V152" i="17"/>
  <c r="AB152" i="17" s="1"/>
  <c r="V151" i="17"/>
  <c r="AB151" i="17" s="1"/>
  <c r="V150" i="17"/>
  <c r="AB150" i="17" s="1"/>
  <c r="V149" i="17"/>
  <c r="AB149" i="17" s="1"/>
  <c r="V148" i="17"/>
  <c r="AB148" i="17" s="1"/>
  <c r="V147" i="17"/>
  <c r="AB147" i="17" s="1"/>
  <c r="V146" i="17"/>
  <c r="AB146" i="17" s="1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AC141" i="17" s="1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V37" i="17"/>
  <c r="AB37" i="17" s="1"/>
  <c r="V36" i="17"/>
  <c r="AB36" i="17" s="1"/>
  <c r="V35" i="17"/>
  <c r="AB35" i="17" s="1"/>
  <c r="V34" i="17"/>
  <c r="AB34" i="17" s="1"/>
  <c r="V33" i="17"/>
  <c r="AB33" i="17" s="1"/>
  <c r="V32" i="17"/>
  <c r="AB32" i="17" s="1"/>
  <c r="V31" i="17"/>
  <c r="AB31" i="17" s="1"/>
  <c r="V30" i="17"/>
  <c r="AB30" i="17" s="1"/>
  <c r="V29" i="17"/>
  <c r="AB29" i="17" s="1"/>
  <c r="V28" i="17"/>
  <c r="AB28" i="17" s="1"/>
  <c r="V27" i="17"/>
  <c r="AB27" i="17" s="1"/>
  <c r="V26" i="17"/>
  <c r="AB26" i="17" s="1"/>
  <c r="X25" i="17"/>
  <c r="W25" i="17"/>
  <c r="AC25" i="17" s="1"/>
  <c r="X24" i="17"/>
  <c r="W24" i="17"/>
  <c r="AC24" i="17" s="1"/>
  <c r="X23" i="17"/>
  <c r="W23" i="17"/>
  <c r="AC23" i="17" s="1"/>
  <c r="X22" i="17"/>
  <c r="W22" i="17"/>
  <c r="AC22" i="17" s="1"/>
  <c r="X21" i="17"/>
  <c r="W21" i="17"/>
  <c r="AC21" i="17" s="1"/>
  <c r="X20" i="17"/>
  <c r="W20" i="17"/>
  <c r="AC20" i="17" s="1"/>
  <c r="X19" i="17"/>
  <c r="W19" i="17"/>
  <c r="AC19" i="17" s="1"/>
  <c r="X18" i="17"/>
  <c r="W18" i="17"/>
  <c r="AC18" i="17" s="1"/>
  <c r="X17" i="17"/>
  <c r="W17" i="17"/>
  <c r="AC17" i="17" s="1"/>
  <c r="X16" i="17"/>
  <c r="W16" i="17"/>
  <c r="AC16" i="17" s="1"/>
  <c r="X15" i="17"/>
  <c r="W15" i="17"/>
  <c r="AC15" i="17" s="1"/>
  <c r="X14" i="17"/>
  <c r="W14" i="17"/>
  <c r="AC14" i="17" s="1"/>
  <c r="V13" i="17"/>
  <c r="AB13" i="17" s="1"/>
  <c r="V12" i="17"/>
  <c r="AB12" i="17" s="1"/>
  <c r="V11" i="17"/>
  <c r="V10" i="17"/>
  <c r="AB10" i="17" s="1"/>
  <c r="V9" i="17"/>
  <c r="AB9" i="17" s="1"/>
  <c r="V8" i="17"/>
  <c r="AB8" i="17" s="1"/>
  <c r="V7" i="17"/>
  <c r="AB7" i="17" s="1"/>
  <c r="V6" i="17"/>
  <c r="AB6" i="17" s="1"/>
  <c r="V5" i="17"/>
  <c r="AB5" i="17" s="1"/>
  <c r="V4" i="17"/>
  <c r="AB4" i="17" s="1"/>
  <c r="V3" i="17"/>
  <c r="V2" i="17"/>
  <c r="AB2" i="17" s="1"/>
  <c r="AE345" i="16"/>
  <c r="AD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B334" i="16"/>
  <c r="AE333" i="16"/>
  <c r="AE332" i="16"/>
  <c r="AD332" i="16"/>
  <c r="AC332" i="16"/>
  <c r="AE331" i="16"/>
  <c r="AD331" i="16"/>
  <c r="AC331" i="16"/>
  <c r="AE330" i="16"/>
  <c r="AD330" i="16"/>
  <c r="AC330" i="16"/>
  <c r="AE329" i="16"/>
  <c r="AD329" i="16"/>
  <c r="AC329" i="16"/>
  <c r="AE328" i="16"/>
  <c r="AD328" i="16"/>
  <c r="AC328" i="16"/>
  <c r="AE327" i="16"/>
  <c r="AD327" i="16"/>
  <c r="AC327" i="16"/>
  <c r="AE326" i="16"/>
  <c r="AD326" i="16"/>
  <c r="AC326" i="16"/>
  <c r="AE325" i="16"/>
  <c r="AD325" i="16"/>
  <c r="AC325" i="16"/>
  <c r="AE324" i="16"/>
  <c r="AD324" i="16"/>
  <c r="AC324" i="16"/>
  <c r="AE323" i="16"/>
  <c r="AD323" i="16"/>
  <c r="AC323" i="16"/>
  <c r="AE322" i="16"/>
  <c r="AD322" i="16"/>
  <c r="AC322" i="16"/>
  <c r="AE321" i="16"/>
  <c r="AD321" i="16"/>
  <c r="AC321" i="16"/>
  <c r="AE320" i="16"/>
  <c r="AE319" i="16"/>
  <c r="AE318" i="16"/>
  <c r="AE317" i="16"/>
  <c r="AE316" i="16"/>
  <c r="AE315" i="16"/>
  <c r="AE314" i="16"/>
  <c r="AB314" i="16"/>
  <c r="AE313" i="16"/>
  <c r="AE312" i="16"/>
  <c r="AE311" i="16"/>
  <c r="AE310" i="16"/>
  <c r="AE309" i="16"/>
  <c r="AE308" i="16"/>
  <c r="AE307" i="16"/>
  <c r="AE306" i="16"/>
  <c r="AE305" i="16"/>
  <c r="AB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D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D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B265" i="16"/>
  <c r="AE264" i="16"/>
  <c r="AE263" i="16"/>
  <c r="AE262" i="16"/>
  <c r="AE261" i="16"/>
  <c r="AE260" i="16"/>
  <c r="AC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D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B233" i="16"/>
  <c r="AE232" i="16"/>
  <c r="AE231" i="16"/>
  <c r="AE230" i="16"/>
  <c r="AE229" i="16"/>
  <c r="AE228" i="16"/>
  <c r="AC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D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D202" i="16"/>
  <c r="AE201" i="16"/>
  <c r="AE200" i="16"/>
  <c r="AE199" i="16"/>
  <c r="AE198" i="16"/>
  <c r="AE197" i="16"/>
  <c r="AE196" i="16"/>
  <c r="AE195" i="16"/>
  <c r="AD195" i="16"/>
  <c r="AE194" i="16"/>
  <c r="AE193" i="16"/>
  <c r="AE192" i="16"/>
  <c r="AE191" i="16"/>
  <c r="AE190" i="16"/>
  <c r="AE189" i="16"/>
  <c r="AE188" i="16"/>
  <c r="AC188" i="16"/>
  <c r="AE187" i="16"/>
  <c r="AE186" i="16"/>
  <c r="AE185" i="16"/>
  <c r="AE184" i="16"/>
  <c r="AE183" i="16"/>
  <c r="AE182" i="16"/>
  <c r="AE181" i="16"/>
  <c r="AD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D170" i="16"/>
  <c r="AE169" i="16"/>
  <c r="AE168" i="16"/>
  <c r="AE167" i="16"/>
  <c r="AE166" i="16"/>
  <c r="AE165" i="16"/>
  <c r="AE164" i="16"/>
  <c r="AE163" i="16"/>
  <c r="AD163" i="16"/>
  <c r="AE162" i="16"/>
  <c r="AE161" i="16"/>
  <c r="AE160" i="16"/>
  <c r="AE159" i="16"/>
  <c r="AE158" i="16"/>
  <c r="AE157" i="16"/>
  <c r="AE156" i="16"/>
  <c r="AC156" i="16"/>
  <c r="AE155" i="16"/>
  <c r="AE154" i="16"/>
  <c r="AE153" i="16"/>
  <c r="AE152" i="16"/>
  <c r="AE151" i="16"/>
  <c r="AE150" i="16"/>
  <c r="AE149" i="16"/>
  <c r="AE148" i="16"/>
  <c r="AE147" i="16"/>
  <c r="AE146" i="16"/>
  <c r="AD146" i="16"/>
  <c r="AE145" i="16"/>
  <c r="AE144" i="16"/>
  <c r="AE143" i="16"/>
  <c r="AC143" i="16"/>
  <c r="AE142" i="16"/>
  <c r="AE141" i="16"/>
  <c r="AE140" i="16"/>
  <c r="AC140" i="16"/>
  <c r="AE139" i="16"/>
  <c r="AE138" i="16"/>
  <c r="AE137" i="16"/>
  <c r="AE136" i="16"/>
  <c r="AE135" i="16"/>
  <c r="AE134" i="16"/>
  <c r="AE133" i="16"/>
  <c r="AE132" i="16"/>
  <c r="AE131" i="16"/>
  <c r="AE130" i="16"/>
  <c r="AD130" i="16"/>
  <c r="AE129" i="16"/>
  <c r="AE128" i="16"/>
  <c r="AE127" i="16"/>
  <c r="AC127" i="16"/>
  <c r="AE126" i="16"/>
  <c r="AE125" i="16"/>
  <c r="AE124" i="16"/>
  <c r="AC124" i="16"/>
  <c r="AE123" i="16"/>
  <c r="AE122" i="16"/>
  <c r="AE121" i="16"/>
  <c r="AE120" i="16"/>
  <c r="AE119" i="16"/>
  <c r="AE118" i="16"/>
  <c r="AE117" i="16"/>
  <c r="AE116" i="16"/>
  <c r="AE115" i="16"/>
  <c r="AE114" i="16"/>
  <c r="AD114" i="16"/>
  <c r="AE113" i="16"/>
  <c r="AE112" i="16"/>
  <c r="AE111" i="16"/>
  <c r="AC111" i="16"/>
  <c r="AE110" i="16"/>
  <c r="AE109" i="16"/>
  <c r="AD109" i="16"/>
  <c r="AC109" i="16"/>
  <c r="AE108" i="16"/>
  <c r="AD108" i="16"/>
  <c r="AC108" i="16"/>
  <c r="AE107" i="16"/>
  <c r="AD107" i="16"/>
  <c r="AC107" i="16"/>
  <c r="AE106" i="16"/>
  <c r="AD106" i="16"/>
  <c r="AC106" i="16"/>
  <c r="AE105" i="16"/>
  <c r="AD105" i="16"/>
  <c r="AC105" i="16"/>
  <c r="AE104" i="16"/>
  <c r="AD104" i="16"/>
  <c r="AC104" i="16"/>
  <c r="AE103" i="16"/>
  <c r="AD103" i="16"/>
  <c r="AC103" i="16"/>
  <c r="AE102" i="16"/>
  <c r="AD102" i="16"/>
  <c r="AC102" i="16"/>
  <c r="AE101" i="16"/>
  <c r="AD101" i="16"/>
  <c r="AC101" i="16"/>
  <c r="AE100" i="16"/>
  <c r="AD100" i="16"/>
  <c r="AC100" i="16"/>
  <c r="AE99" i="16"/>
  <c r="AD99" i="16"/>
  <c r="AC99" i="16"/>
  <c r="AE98" i="16"/>
  <c r="AD98" i="16"/>
  <c r="AC98" i="16"/>
  <c r="AG97" i="16"/>
  <c r="AF97" i="16"/>
  <c r="AB97" i="16"/>
  <c r="AG96" i="16"/>
  <c r="AF96" i="16"/>
  <c r="AB96" i="16"/>
  <c r="AG95" i="16"/>
  <c r="AF95" i="16"/>
  <c r="AB95" i="16"/>
  <c r="AG94" i="16"/>
  <c r="AF94" i="16"/>
  <c r="AC94" i="16"/>
  <c r="AB94" i="16"/>
  <c r="AG93" i="16"/>
  <c r="AF93" i="16"/>
  <c r="AB93" i="16"/>
  <c r="AG92" i="16"/>
  <c r="AF92" i="16"/>
  <c r="AB92" i="16"/>
  <c r="AG91" i="16"/>
  <c r="AF91" i="16"/>
  <c r="AB91" i="16"/>
  <c r="AG90" i="16"/>
  <c r="AF90" i="16"/>
  <c r="AB90" i="16"/>
  <c r="AG89" i="16"/>
  <c r="AF89" i="16"/>
  <c r="AD89" i="16"/>
  <c r="AB89" i="16"/>
  <c r="AG88" i="16"/>
  <c r="AF88" i="16"/>
  <c r="AB88" i="16"/>
  <c r="AG87" i="16"/>
  <c r="AF87" i="16"/>
  <c r="AB87" i="16"/>
  <c r="AG86" i="16"/>
  <c r="AF86" i="16"/>
  <c r="AC86" i="16"/>
  <c r="AB86" i="16"/>
  <c r="AE85" i="16"/>
  <c r="AD85" i="16"/>
  <c r="AC85" i="16"/>
  <c r="AE84" i="16"/>
  <c r="AD84" i="16"/>
  <c r="AC84" i="16"/>
  <c r="AE83" i="16"/>
  <c r="AD83" i="16"/>
  <c r="AC83" i="16"/>
  <c r="AE82" i="16"/>
  <c r="AD82" i="16"/>
  <c r="AC82" i="16"/>
  <c r="AE81" i="16"/>
  <c r="AD81" i="16"/>
  <c r="AC81" i="16"/>
  <c r="AE80" i="16"/>
  <c r="AD80" i="16"/>
  <c r="AC80" i="16"/>
  <c r="AE79" i="16"/>
  <c r="AD79" i="16"/>
  <c r="AC79" i="16"/>
  <c r="AE78" i="16"/>
  <c r="AD78" i="16"/>
  <c r="AC78" i="16"/>
  <c r="AE77" i="16"/>
  <c r="AD77" i="16"/>
  <c r="AC77" i="16"/>
  <c r="AE76" i="16"/>
  <c r="AD76" i="16"/>
  <c r="AC76" i="16"/>
  <c r="AE75" i="16"/>
  <c r="AD75" i="16"/>
  <c r="AC75" i="16"/>
  <c r="AE74" i="16"/>
  <c r="AD74" i="16"/>
  <c r="AC74" i="16"/>
  <c r="AE73" i="16"/>
  <c r="AE72" i="16"/>
  <c r="AC72" i="16"/>
  <c r="AE71" i="16"/>
  <c r="AE70" i="16"/>
  <c r="AE69" i="16"/>
  <c r="AE68" i="16"/>
  <c r="AC68" i="16"/>
  <c r="AE67" i="16"/>
  <c r="AE66" i="16"/>
  <c r="AC66" i="16"/>
  <c r="AE65" i="16"/>
  <c r="AE64" i="16"/>
  <c r="AC64" i="16"/>
  <c r="AE63" i="16"/>
  <c r="AE62" i="16"/>
  <c r="AG61" i="16"/>
  <c r="AF61" i="16"/>
  <c r="AG60" i="16"/>
  <c r="AF60" i="16"/>
  <c r="AG59" i="16"/>
  <c r="AF59" i="16"/>
  <c r="AB59" i="16"/>
  <c r="AG58" i="16"/>
  <c r="AF58" i="16"/>
  <c r="AG57" i="16"/>
  <c r="AF57" i="16"/>
  <c r="AD57" i="16"/>
  <c r="AG56" i="16"/>
  <c r="AF56" i="16"/>
  <c r="AG55" i="16"/>
  <c r="AF55" i="16"/>
  <c r="AG54" i="16"/>
  <c r="AF54" i="16"/>
  <c r="AC54" i="16"/>
  <c r="AG53" i="16"/>
  <c r="AF53" i="16"/>
  <c r="AG52" i="16"/>
  <c r="AF52" i="16"/>
  <c r="AG51" i="16"/>
  <c r="AF51" i="16"/>
  <c r="AB51" i="16"/>
  <c r="AG50" i="16"/>
  <c r="AF50" i="16"/>
  <c r="AE49" i="16"/>
  <c r="AC49" i="16"/>
  <c r="AE48" i="16"/>
  <c r="AE47" i="16"/>
  <c r="AC47" i="16"/>
  <c r="AE46" i="16"/>
  <c r="AE45" i="16"/>
  <c r="AC45" i="16"/>
  <c r="AE44" i="16"/>
  <c r="AE43" i="16"/>
  <c r="AC43" i="16"/>
  <c r="AE42" i="16"/>
  <c r="AE41" i="16"/>
  <c r="AC41" i="16"/>
  <c r="AE40" i="16"/>
  <c r="AE39" i="16"/>
  <c r="AC39" i="16"/>
  <c r="AE38" i="16"/>
  <c r="AE37" i="16"/>
  <c r="AC37" i="16"/>
  <c r="AE36" i="16"/>
  <c r="AE35" i="16"/>
  <c r="AC35" i="16"/>
  <c r="AE34" i="16"/>
  <c r="AE33" i="16"/>
  <c r="AC33" i="16"/>
  <c r="AE32" i="16"/>
  <c r="AE31" i="16"/>
  <c r="AC31" i="16"/>
  <c r="AE30" i="16"/>
  <c r="AE29" i="16"/>
  <c r="AC29" i="16"/>
  <c r="AE28" i="16"/>
  <c r="AE27" i="16"/>
  <c r="AC27" i="16"/>
  <c r="AE26" i="16"/>
  <c r="AG25" i="16"/>
  <c r="AF25" i="16"/>
  <c r="AD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B19" i="16"/>
  <c r="AG18" i="16"/>
  <c r="AF18" i="16"/>
  <c r="AG17" i="16"/>
  <c r="AF17" i="16"/>
  <c r="AD17" i="16"/>
  <c r="AG16" i="16"/>
  <c r="AF16" i="16"/>
  <c r="AG15" i="16"/>
  <c r="AF15" i="16"/>
  <c r="AG14" i="16"/>
  <c r="AF14" i="16"/>
  <c r="AE13" i="16"/>
  <c r="AE12" i="16"/>
  <c r="AC12" i="16"/>
  <c r="AE11" i="16"/>
  <c r="AE10" i="16"/>
  <c r="AC10" i="16"/>
  <c r="AE9" i="16"/>
  <c r="AE8" i="16"/>
  <c r="AC8" i="16"/>
  <c r="AE7" i="16"/>
  <c r="AE6" i="16"/>
  <c r="AE5" i="16"/>
  <c r="AE4" i="16"/>
  <c r="AC4" i="16"/>
  <c r="AE3" i="16"/>
  <c r="AE2" i="16"/>
  <c r="AC2" i="16"/>
  <c r="X345" i="16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X333" i="16"/>
  <c r="AD333" i="16" s="1"/>
  <c r="W333" i="16"/>
  <c r="AC333" i="16" s="1"/>
  <c r="V333" i="16"/>
  <c r="AB333" i="16" s="1"/>
  <c r="V332" i="16"/>
  <c r="AB332" i="16" s="1"/>
  <c r="V331" i="16"/>
  <c r="AB331" i="16" s="1"/>
  <c r="V330" i="16"/>
  <c r="AB330" i="16" s="1"/>
  <c r="V329" i="16"/>
  <c r="AB329" i="16" s="1"/>
  <c r="V328" i="16"/>
  <c r="AB328" i="16" s="1"/>
  <c r="V327" i="16"/>
  <c r="AB327" i="16" s="1"/>
  <c r="V326" i="16"/>
  <c r="AB326" i="16" s="1"/>
  <c r="V325" i="16"/>
  <c r="AB325" i="16" s="1"/>
  <c r="V324" i="16"/>
  <c r="AB324" i="16" s="1"/>
  <c r="V323" i="16"/>
  <c r="AB323" i="16" s="1"/>
  <c r="V322" i="16"/>
  <c r="AB322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V111" i="16"/>
  <c r="AB111" i="16" s="1"/>
  <c r="X110" i="16"/>
  <c r="AD110" i="16" s="1"/>
  <c r="W110" i="16"/>
  <c r="AC110" i="16" s="1"/>
  <c r="V110" i="16"/>
  <c r="AB110" i="16" s="1"/>
  <c r="V109" i="16"/>
  <c r="AB109" i="16" s="1"/>
  <c r="V108" i="16"/>
  <c r="AB108" i="16" s="1"/>
  <c r="V107" i="16"/>
  <c r="AB107" i="16" s="1"/>
  <c r="V106" i="16"/>
  <c r="AB106" i="16" s="1"/>
  <c r="V105" i="16"/>
  <c r="AB105" i="16" s="1"/>
  <c r="V104" i="16"/>
  <c r="AB104" i="16" s="1"/>
  <c r="V103" i="16"/>
  <c r="AB103" i="16" s="1"/>
  <c r="V102" i="16"/>
  <c r="AB102" i="16" s="1"/>
  <c r="V101" i="16"/>
  <c r="AB101" i="16" s="1"/>
  <c r="V100" i="16"/>
  <c r="AB100" i="16" s="1"/>
  <c r="V99" i="16"/>
  <c r="AB99" i="16" s="1"/>
  <c r="V98" i="16"/>
  <c r="AB98" i="16" s="1"/>
  <c r="X97" i="16"/>
  <c r="AD97" i="16" s="1"/>
  <c r="W97" i="16"/>
  <c r="AC97" i="16" s="1"/>
  <c r="X96" i="16"/>
  <c r="AD96" i="16" s="1"/>
  <c r="W96" i="16"/>
  <c r="AC96" i="16" s="1"/>
  <c r="X95" i="16"/>
  <c r="AD95" i="16" s="1"/>
  <c r="W95" i="16"/>
  <c r="AC95" i="16" s="1"/>
  <c r="X94" i="16"/>
  <c r="AD94" i="16" s="1"/>
  <c r="W94" i="16"/>
  <c r="X93" i="16"/>
  <c r="AD93" i="16" s="1"/>
  <c r="W93" i="16"/>
  <c r="AC93" i="16" s="1"/>
  <c r="X92" i="16"/>
  <c r="AD92" i="16" s="1"/>
  <c r="W92" i="16"/>
  <c r="AC92" i="16" s="1"/>
  <c r="X91" i="16"/>
  <c r="AD91" i="16" s="1"/>
  <c r="W91" i="16"/>
  <c r="AC91" i="16" s="1"/>
  <c r="X90" i="16"/>
  <c r="AD90" i="16" s="1"/>
  <c r="W90" i="16"/>
  <c r="AC90" i="16" s="1"/>
  <c r="X89" i="16"/>
  <c r="W89" i="16"/>
  <c r="AC89" i="16" s="1"/>
  <c r="X88" i="16"/>
  <c r="AD88" i="16" s="1"/>
  <c r="W88" i="16"/>
  <c r="AC88" i="16" s="1"/>
  <c r="X87" i="16"/>
  <c r="AD87" i="16" s="1"/>
  <c r="W87" i="16"/>
  <c r="AC87" i="16" s="1"/>
  <c r="X86" i="16"/>
  <c r="AD86" i="16" s="1"/>
  <c r="W86" i="16"/>
  <c r="V85" i="16"/>
  <c r="AB85" i="16" s="1"/>
  <c r="V84" i="16"/>
  <c r="AB84" i="16" s="1"/>
  <c r="V83" i="16"/>
  <c r="AB83" i="16" s="1"/>
  <c r="V82" i="16"/>
  <c r="AB82" i="16" s="1"/>
  <c r="V81" i="16"/>
  <c r="AB81" i="16" s="1"/>
  <c r="V80" i="16"/>
  <c r="AB80" i="16" s="1"/>
  <c r="V79" i="16"/>
  <c r="AB79" i="16" s="1"/>
  <c r="V78" i="16"/>
  <c r="AB78" i="16" s="1"/>
  <c r="V77" i="16"/>
  <c r="AB77" i="16" s="1"/>
  <c r="V76" i="16"/>
  <c r="AB76" i="16" s="1"/>
  <c r="V75" i="16"/>
  <c r="AB75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X58" i="16"/>
  <c r="AD58" i="16" s="1"/>
  <c r="W58" i="16"/>
  <c r="AC58" i="16" s="1"/>
  <c r="V58" i="16"/>
  <c r="AB58" i="16" s="1"/>
  <c r="X57" i="16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X50" i="16"/>
  <c r="AD50" i="16" s="1"/>
  <c r="W50" i="16"/>
  <c r="AC50" i="16" s="1"/>
  <c r="V50" i="16"/>
  <c r="AB50" i="16" s="1"/>
  <c r="X49" i="16"/>
  <c r="AD49" i="16" s="1"/>
  <c r="W49" i="16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V27" i="16"/>
  <c r="AB27" i="16" s="1"/>
  <c r="X26" i="16"/>
  <c r="AD26" i="16" s="1"/>
  <c r="W26" i="16"/>
  <c r="AC26" i="16" s="1"/>
  <c r="V26" i="16"/>
  <c r="AB26" i="16" s="1"/>
  <c r="X25" i="16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X18" i="16"/>
  <c r="AD18" i="16" s="1"/>
  <c r="W18" i="16"/>
  <c r="AC18" i="16" s="1"/>
  <c r="V18" i="16"/>
  <c r="AB18" i="16" s="1"/>
  <c r="X17" i="16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V4" i="16"/>
  <c r="AB4" i="16" s="1"/>
  <c r="X3" i="16"/>
  <c r="AD3" i="16" s="1"/>
  <c r="W3" i="16"/>
  <c r="AC3" i="16" s="1"/>
  <c r="V3" i="16"/>
  <c r="AB3" i="16" s="1"/>
  <c r="X2" i="16"/>
  <c r="AD2" i="16" s="1"/>
  <c r="W2" i="16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AA50" i="7" s="1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AA48" i="7" s="1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Z46" i="7" s="1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AA42" i="7" s="1"/>
  <c r="Z42" i="6"/>
  <c r="Z42" i="7" s="1"/>
  <c r="X42" i="6"/>
  <c r="W42" i="6"/>
  <c r="V42" i="6"/>
  <c r="U42" i="6"/>
  <c r="AD41" i="6"/>
  <c r="AB41" i="6"/>
  <c r="AA41" i="6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AA38" i="7" s="1"/>
  <c r="Z38" i="6"/>
  <c r="Z38" i="7" s="1"/>
  <c r="X38" i="6"/>
  <c r="W38" i="6"/>
  <c r="V38" i="6"/>
  <c r="U38" i="6"/>
  <c r="AD37" i="6"/>
  <c r="AB37" i="6"/>
  <c r="AA37" i="6"/>
  <c r="Z37" i="6"/>
  <c r="X37" i="6"/>
  <c r="W37" i="6"/>
  <c r="V37" i="6"/>
  <c r="U37" i="6"/>
  <c r="AD36" i="6"/>
  <c r="AB36" i="6"/>
  <c r="AA36" i="6"/>
  <c r="AA36" i="7" s="1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AA34" i="7" s="1"/>
  <c r="Z34" i="6"/>
  <c r="Z34" i="7" s="1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AA32" i="7" s="1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AA30" i="7" s="1"/>
  <c r="Z30" i="6"/>
  <c r="Z30" i="7" s="1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AA28" i="7" s="1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AA26" i="7" s="1"/>
  <c r="Z26" i="6"/>
  <c r="Z26" i="7" s="1"/>
  <c r="X26" i="6"/>
  <c r="W26" i="6"/>
  <c r="V26" i="6"/>
  <c r="U26" i="6"/>
  <c r="AD25" i="6"/>
  <c r="AC25" i="6"/>
  <c r="AB25" i="6"/>
  <c r="AA25" i="6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Z22" i="7" s="1"/>
  <c r="X22" i="6"/>
  <c r="W22" i="6"/>
  <c r="V22" i="6"/>
  <c r="U22" i="6"/>
  <c r="AD21" i="6"/>
  <c r="AB21" i="6"/>
  <c r="AA21" i="6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Z18" i="7" s="1"/>
  <c r="Y18" i="6"/>
  <c r="X18" i="6"/>
  <c r="W18" i="6"/>
  <c r="V18" i="6"/>
  <c r="U18" i="6"/>
  <c r="AD17" i="6"/>
  <c r="AC17" i="6"/>
  <c r="AB17" i="6"/>
  <c r="AA17" i="6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Z14" i="7" s="1"/>
  <c r="Y14" i="6"/>
  <c r="X14" i="6"/>
  <c r="W14" i="6"/>
  <c r="V14" i="6"/>
  <c r="U14" i="6"/>
  <c r="AD13" i="6"/>
  <c r="AC13" i="6"/>
  <c r="AB13" i="6"/>
  <c r="AA13" i="6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Z10" i="7" s="1"/>
  <c r="Y10" i="6"/>
  <c r="X10" i="6"/>
  <c r="W10" i="6"/>
  <c r="V10" i="6"/>
  <c r="U10" i="6"/>
  <c r="AD9" i="6"/>
  <c r="AC9" i="6"/>
  <c r="AB9" i="6"/>
  <c r="AA9" i="6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Z6" i="7" s="1"/>
  <c r="Y6" i="6"/>
  <c r="X6" i="6"/>
  <c r="W6" i="6"/>
  <c r="V6" i="6"/>
  <c r="U6" i="6"/>
  <c r="AD5" i="6"/>
  <c r="AC5" i="6"/>
  <c r="AB5" i="6"/>
  <c r="AA5" i="6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Z51" i="7"/>
  <c r="AG50" i="7"/>
  <c r="Z50" i="7"/>
  <c r="AG49" i="7"/>
  <c r="Z49" i="7"/>
  <c r="AG48" i="7"/>
  <c r="Z48" i="7"/>
  <c r="AG47" i="7"/>
  <c r="AA47" i="7"/>
  <c r="Z47" i="7"/>
  <c r="AG46" i="7"/>
  <c r="AA46" i="7"/>
  <c r="AG45" i="7"/>
  <c r="Z45" i="7"/>
  <c r="AG44" i="7"/>
  <c r="AA44" i="7"/>
  <c r="Z44" i="7"/>
  <c r="AG43" i="7"/>
  <c r="AA43" i="7"/>
  <c r="Z43" i="7"/>
  <c r="AG42" i="7"/>
  <c r="AG41" i="7"/>
  <c r="AA41" i="7"/>
  <c r="Z41" i="7"/>
  <c r="AG40" i="7"/>
  <c r="AA40" i="7"/>
  <c r="Z40" i="7"/>
  <c r="AG39" i="7"/>
  <c r="Z39" i="7"/>
  <c r="AG38" i="7"/>
  <c r="AG37" i="7"/>
  <c r="AA37" i="7"/>
  <c r="Z37" i="7"/>
  <c r="AG36" i="7"/>
  <c r="Z36" i="7"/>
  <c r="AG35" i="7"/>
  <c r="Z35" i="7"/>
  <c r="AG34" i="7"/>
  <c r="AG33" i="7"/>
  <c r="Z33" i="7"/>
  <c r="AG32" i="7"/>
  <c r="Z32" i="7"/>
  <c r="AG31" i="7"/>
  <c r="Z31" i="7"/>
  <c r="AG30" i="7"/>
  <c r="AG29" i="7"/>
  <c r="Z29" i="7"/>
  <c r="AG28" i="7"/>
  <c r="Z28" i="7"/>
  <c r="AG27" i="7"/>
  <c r="Z27" i="7"/>
  <c r="AG26" i="7"/>
  <c r="AG25" i="7"/>
  <c r="AA25" i="7"/>
  <c r="Z25" i="7"/>
  <c r="AG24" i="7"/>
  <c r="AA24" i="7"/>
  <c r="Z24" i="7"/>
  <c r="AG23" i="7"/>
  <c r="AA23" i="7"/>
  <c r="Z23" i="7"/>
  <c r="AG22" i="7"/>
  <c r="AA22" i="7"/>
  <c r="AG21" i="7"/>
  <c r="AA21" i="7"/>
  <c r="Z21" i="7"/>
  <c r="AG20" i="7"/>
  <c r="AA20" i="7"/>
  <c r="Z20" i="7"/>
  <c r="AG19" i="7"/>
  <c r="AA19" i="7"/>
  <c r="Z19" i="7"/>
  <c r="AG18" i="7"/>
  <c r="AA18" i="7"/>
  <c r="AG17" i="7"/>
  <c r="AA17" i="7"/>
  <c r="Z17" i="7"/>
  <c r="AG16" i="7"/>
  <c r="AA16" i="7"/>
  <c r="Z16" i="7"/>
  <c r="AG15" i="7"/>
  <c r="AA15" i="7"/>
  <c r="Z15" i="7"/>
  <c r="AG14" i="7"/>
  <c r="AA14" i="7"/>
  <c r="AG13" i="7"/>
  <c r="AA13" i="7"/>
  <c r="Z13" i="7"/>
  <c r="AG12" i="7"/>
  <c r="AA12" i="7"/>
  <c r="Z12" i="7"/>
  <c r="AG11" i="7"/>
  <c r="AA11" i="7"/>
  <c r="Z11" i="7"/>
  <c r="AG10" i="7"/>
  <c r="AA10" i="7"/>
  <c r="AG9" i="7"/>
  <c r="AA9" i="7"/>
  <c r="Z9" i="7"/>
  <c r="AG8" i="7"/>
  <c r="AA8" i="7"/>
  <c r="Z8" i="7"/>
  <c r="AG7" i="7"/>
  <c r="AA7" i="7"/>
  <c r="Z7" i="7"/>
  <c r="AG6" i="7"/>
  <c r="AA6" i="7"/>
  <c r="AG5" i="7"/>
  <c r="AA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H57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AI56" i="7"/>
  <c r="AI57" i="6"/>
  <c r="AI56" i="6"/>
  <c r="AH58" i="6"/>
  <c r="AH56" i="6"/>
  <c r="F18" i="5"/>
  <c r="Z58" i="6"/>
  <c r="V56" i="7"/>
  <c r="U56" i="7"/>
  <c r="F45" i="5"/>
  <c r="E45" i="5"/>
  <c r="D45" i="5"/>
  <c r="F43" i="5"/>
  <c r="D43" i="5"/>
  <c r="E41" i="5"/>
  <c r="D41" i="5"/>
  <c r="F23" i="5"/>
  <c r="AG58" i="6" s="1"/>
  <c r="D23" i="5"/>
  <c r="AG56" i="6" s="1"/>
  <c r="F20" i="5"/>
  <c r="E20" i="5"/>
  <c r="D20" i="5"/>
  <c r="AD56" i="6" s="1"/>
  <c r="E18" i="5"/>
  <c r="AB57" i="6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U33" i="4" s="1"/>
  <c r="L33" i="4"/>
  <c r="K33" i="4"/>
  <c r="J33" i="4"/>
  <c r="I33" i="4"/>
  <c r="T32" i="4"/>
  <c r="S32" i="4"/>
  <c r="R32" i="4"/>
  <c r="Q32" i="4"/>
  <c r="P32" i="4"/>
  <c r="O32" i="4"/>
  <c r="N32" i="4"/>
  <c r="M32" i="4"/>
  <c r="U32" i="4" s="1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U25" i="4" s="1"/>
  <c r="L25" i="4"/>
  <c r="K25" i="4"/>
  <c r="J25" i="4"/>
  <c r="I25" i="4"/>
  <c r="T24" i="4"/>
  <c r="S24" i="4"/>
  <c r="R24" i="4"/>
  <c r="Q24" i="4"/>
  <c r="P24" i="4"/>
  <c r="O24" i="4"/>
  <c r="N24" i="4"/>
  <c r="M24" i="4"/>
  <c r="U24" i="4" s="1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U22" i="4" s="1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U17" i="4" s="1"/>
  <c r="L17" i="4"/>
  <c r="K17" i="4"/>
  <c r="J17" i="4"/>
  <c r="I17" i="4"/>
  <c r="T16" i="4"/>
  <c r="S16" i="4"/>
  <c r="R16" i="4"/>
  <c r="Q16" i="4"/>
  <c r="P16" i="4"/>
  <c r="O16" i="4"/>
  <c r="N16" i="4"/>
  <c r="M16" i="4"/>
  <c r="U16" i="4" s="1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U14" i="4" s="1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U9" i="4" s="1"/>
  <c r="L9" i="4"/>
  <c r="K9" i="4"/>
  <c r="J9" i="4"/>
  <c r="I9" i="4"/>
  <c r="T8" i="4"/>
  <c r="S8" i="4"/>
  <c r="R8" i="4"/>
  <c r="Q8" i="4"/>
  <c r="P8" i="4"/>
  <c r="O8" i="4"/>
  <c r="N8" i="4"/>
  <c r="M8" i="4"/>
  <c r="U8" i="4" s="1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U6" i="4" s="1"/>
  <c r="I6" i="4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U48" i="3" s="1"/>
  <c r="L48" i="3"/>
  <c r="K48" i="3"/>
  <c r="J48" i="3"/>
  <c r="I48" i="3"/>
  <c r="T47" i="3"/>
  <c r="S47" i="3"/>
  <c r="R47" i="3"/>
  <c r="Q47" i="3"/>
  <c r="P47" i="3"/>
  <c r="O47" i="3"/>
  <c r="N47" i="3"/>
  <c r="M47" i="3"/>
  <c r="U47" i="3" s="1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U40" i="3" s="1"/>
  <c r="L40" i="3"/>
  <c r="K40" i="3"/>
  <c r="J40" i="3"/>
  <c r="I40" i="3"/>
  <c r="T39" i="3"/>
  <c r="S39" i="3"/>
  <c r="R39" i="3"/>
  <c r="Q39" i="3"/>
  <c r="P39" i="3"/>
  <c r="O39" i="3"/>
  <c r="N39" i="3"/>
  <c r="M39" i="3"/>
  <c r="U39" i="3" s="1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U37" i="3" s="1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U32" i="3" s="1"/>
  <c r="L32" i="3"/>
  <c r="K32" i="3"/>
  <c r="J32" i="3"/>
  <c r="I32" i="3"/>
  <c r="T31" i="3"/>
  <c r="S31" i="3"/>
  <c r="R31" i="3"/>
  <c r="Q31" i="3"/>
  <c r="P31" i="3"/>
  <c r="O31" i="3"/>
  <c r="N31" i="3"/>
  <c r="M31" i="3"/>
  <c r="U31" i="3" s="1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U29" i="3" s="1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U24" i="3" s="1"/>
  <c r="L24" i="3"/>
  <c r="K24" i="3"/>
  <c r="J24" i="3"/>
  <c r="I24" i="3"/>
  <c r="T23" i="3"/>
  <c r="S23" i="3"/>
  <c r="R23" i="3"/>
  <c r="Q23" i="3"/>
  <c r="P23" i="3"/>
  <c r="O23" i="3"/>
  <c r="N23" i="3"/>
  <c r="M23" i="3"/>
  <c r="U23" i="3" s="1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U21" i="3" s="1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U16" i="3" s="1"/>
  <c r="L16" i="3"/>
  <c r="K16" i="3"/>
  <c r="J16" i="3"/>
  <c r="I16" i="3"/>
  <c r="T15" i="3"/>
  <c r="S15" i="3"/>
  <c r="R15" i="3"/>
  <c r="Q15" i="3"/>
  <c r="P15" i="3"/>
  <c r="O15" i="3"/>
  <c r="N15" i="3"/>
  <c r="M15" i="3"/>
  <c r="U15" i="3" s="1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U13" i="3" s="1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U8" i="3" s="1"/>
  <c r="L8" i="3"/>
  <c r="K8" i="3"/>
  <c r="J8" i="3"/>
  <c r="I8" i="3"/>
  <c r="T7" i="3"/>
  <c r="S7" i="3"/>
  <c r="R7" i="3"/>
  <c r="Q7" i="3"/>
  <c r="P7" i="3"/>
  <c r="O7" i="3"/>
  <c r="N7" i="3"/>
  <c r="M7" i="3"/>
  <c r="U7" i="3" s="1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U5" i="3" s="1"/>
  <c r="I5" i="3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U2" i="3" s="1"/>
  <c r="I2" i="3"/>
  <c r="H1" i="2"/>
  <c r="I10" i="23" l="1"/>
  <c r="AZ62" i="23" s="1"/>
  <c r="I10" i="7"/>
  <c r="I10" i="9"/>
  <c r="I10" i="6"/>
  <c r="I10" i="14"/>
  <c r="I10" i="8"/>
  <c r="I38" i="23"/>
  <c r="I38" i="14"/>
  <c r="I38" i="9"/>
  <c r="I38" i="6"/>
  <c r="I38" i="8"/>
  <c r="I38" i="7"/>
  <c r="I46" i="23"/>
  <c r="I46" i="14"/>
  <c r="I46" i="9"/>
  <c r="I46" i="6"/>
  <c r="I46" i="8"/>
  <c r="I46" i="7"/>
  <c r="I48" i="23"/>
  <c r="I48" i="14"/>
  <c r="I48" i="6"/>
  <c r="I48" i="8"/>
  <c r="I48" i="7"/>
  <c r="I48" i="9"/>
  <c r="I51" i="23"/>
  <c r="I51" i="14"/>
  <c r="I51" i="9"/>
  <c r="I51" i="7"/>
  <c r="I51" i="6"/>
  <c r="I51" i="8"/>
  <c r="I7" i="24"/>
  <c r="I7" i="12"/>
  <c r="I7" i="11"/>
  <c r="I7" i="10"/>
  <c r="I7" i="13"/>
  <c r="I12" i="24"/>
  <c r="I12" i="13"/>
  <c r="I12" i="12"/>
  <c r="I12" i="11"/>
  <c r="I12" i="10"/>
  <c r="I13" i="24"/>
  <c r="I13" i="12"/>
  <c r="I13" i="13"/>
  <c r="I13" i="11"/>
  <c r="I13" i="10"/>
  <c r="I15" i="24"/>
  <c r="I15" i="12"/>
  <c r="I15" i="11"/>
  <c r="I15" i="10"/>
  <c r="I15" i="13"/>
  <c r="I20" i="24"/>
  <c r="I20" i="13"/>
  <c r="I20" i="12"/>
  <c r="I20" i="11"/>
  <c r="I20" i="10"/>
  <c r="I21" i="24"/>
  <c r="I21" i="12"/>
  <c r="I21" i="11"/>
  <c r="I21" i="10"/>
  <c r="I21" i="13"/>
  <c r="I23" i="24"/>
  <c r="I23" i="12"/>
  <c r="I23" i="10"/>
  <c r="I23" i="11"/>
  <c r="I23" i="13"/>
  <c r="I28" i="24"/>
  <c r="I28" i="13"/>
  <c r="I28" i="12"/>
  <c r="I28" i="11"/>
  <c r="I28" i="10"/>
  <c r="I29" i="24"/>
  <c r="I29" i="12"/>
  <c r="I29" i="11"/>
  <c r="I29" i="13"/>
  <c r="I29" i="10"/>
  <c r="I31" i="24"/>
  <c r="X73" i="24" s="1"/>
  <c r="I31" i="12"/>
  <c r="I31" i="13"/>
  <c r="I31" i="10"/>
  <c r="I31" i="11"/>
  <c r="I33" i="24"/>
  <c r="AG75" i="24" s="1"/>
  <c r="I33" i="12"/>
  <c r="I33" i="11"/>
  <c r="I33" i="13"/>
  <c r="I33" i="10"/>
  <c r="I36" i="24"/>
  <c r="I36" i="13"/>
  <c r="I36" i="12"/>
  <c r="I36" i="11"/>
  <c r="I36" i="10"/>
  <c r="I37" i="24"/>
  <c r="I37" i="12"/>
  <c r="I37" i="11"/>
  <c r="I37" i="10"/>
  <c r="I37" i="13"/>
  <c r="I39" i="24"/>
  <c r="I39" i="12"/>
  <c r="I39" i="10"/>
  <c r="I39" i="11"/>
  <c r="I39" i="13"/>
  <c r="I41" i="24"/>
  <c r="AG83" i="24" s="1"/>
  <c r="I41" i="12"/>
  <c r="I41" i="11"/>
  <c r="I41" i="13"/>
  <c r="I41" i="10"/>
  <c r="I6" i="23"/>
  <c r="I6" i="14"/>
  <c r="I6" i="9"/>
  <c r="I6" i="6"/>
  <c r="I6" i="8"/>
  <c r="I6" i="7"/>
  <c r="I14" i="23"/>
  <c r="AS66" i="23" s="1"/>
  <c r="I14" i="14"/>
  <c r="I14" i="9"/>
  <c r="I14" i="6"/>
  <c r="I14" i="8"/>
  <c r="I14" i="7"/>
  <c r="I22" i="23"/>
  <c r="AM74" i="23" s="1"/>
  <c r="I22" i="14"/>
  <c r="I22" i="9"/>
  <c r="I22" i="6"/>
  <c r="I22" i="8"/>
  <c r="I22" i="7"/>
  <c r="I28" i="23"/>
  <c r="AS80" i="23" s="1"/>
  <c r="I28" i="14"/>
  <c r="I28" i="9"/>
  <c r="I28" i="7"/>
  <c r="I28" i="6"/>
  <c r="I28" i="8"/>
  <c r="I43" i="23"/>
  <c r="I43" i="14"/>
  <c r="I43" i="9"/>
  <c r="I43" i="7"/>
  <c r="I43" i="6"/>
  <c r="I43" i="8"/>
  <c r="I5" i="24"/>
  <c r="P14" i="5"/>
  <c r="I5" i="12"/>
  <c r="I5" i="13"/>
  <c r="I5" i="11"/>
  <c r="I5" i="10"/>
  <c r="I32" i="23"/>
  <c r="I32" i="14"/>
  <c r="I32" i="6"/>
  <c r="I32" i="8"/>
  <c r="I32" i="7"/>
  <c r="I32" i="9"/>
  <c r="I40" i="23"/>
  <c r="I40" i="14"/>
  <c r="I40" i="6"/>
  <c r="I40" i="8"/>
  <c r="I40" i="7"/>
  <c r="I40" i="9"/>
  <c r="I25" i="24"/>
  <c r="I25" i="12"/>
  <c r="I25" i="11"/>
  <c r="I25" i="13"/>
  <c r="I25" i="10"/>
  <c r="I18" i="23"/>
  <c r="I18" i="7"/>
  <c r="I18" i="14"/>
  <c r="I18" i="9"/>
  <c r="I18" i="6"/>
  <c r="I18" i="8"/>
  <c r="I11" i="23"/>
  <c r="I11" i="14"/>
  <c r="I11" i="7"/>
  <c r="I11" i="9"/>
  <c r="I11" i="6"/>
  <c r="I11" i="8"/>
  <c r="I20" i="23"/>
  <c r="I20" i="14"/>
  <c r="I20" i="7"/>
  <c r="I20" i="9"/>
  <c r="I20" i="6"/>
  <c r="I20" i="8"/>
  <c r="I27" i="23"/>
  <c r="I27" i="14"/>
  <c r="I27" i="9"/>
  <c r="I27" i="7"/>
  <c r="I27" i="6"/>
  <c r="I27" i="8"/>
  <c r="I36" i="23"/>
  <c r="I36" i="14"/>
  <c r="I36" i="9"/>
  <c r="I36" i="7"/>
  <c r="I36" i="6"/>
  <c r="I36" i="8"/>
  <c r="I8" i="23"/>
  <c r="I8" i="14"/>
  <c r="I8" i="8"/>
  <c r="I8" i="7"/>
  <c r="I8" i="9"/>
  <c r="I8" i="6"/>
  <c r="I16" i="23"/>
  <c r="BC68" i="23" s="1"/>
  <c r="I16" i="14"/>
  <c r="I16" i="8"/>
  <c r="I16" i="7"/>
  <c r="I16" i="6"/>
  <c r="I16" i="9"/>
  <c r="I17" i="24"/>
  <c r="I17" i="12"/>
  <c r="I17" i="13"/>
  <c r="I17" i="11"/>
  <c r="I17" i="10"/>
  <c r="I21" i="23"/>
  <c r="AY73" i="23" s="1"/>
  <c r="I21" i="9"/>
  <c r="I21" i="14"/>
  <c r="I21" i="6"/>
  <c r="I21" i="8"/>
  <c r="I21" i="7"/>
  <c r="I12" i="23"/>
  <c r="AS64" i="23" s="1"/>
  <c r="I12" i="14"/>
  <c r="I12" i="7"/>
  <c r="I12" i="9"/>
  <c r="I12" i="6"/>
  <c r="I12" i="8"/>
  <c r="I19" i="23"/>
  <c r="I19" i="14"/>
  <c r="I19" i="7"/>
  <c r="I19" i="9"/>
  <c r="I19" i="6"/>
  <c r="I19" i="8"/>
  <c r="I30" i="23"/>
  <c r="I30" i="14"/>
  <c r="I30" i="9"/>
  <c r="I30" i="6"/>
  <c r="I30" i="8"/>
  <c r="I30" i="7"/>
  <c r="I35" i="23"/>
  <c r="AI87" i="23" s="1"/>
  <c r="I35" i="14"/>
  <c r="I35" i="9"/>
  <c r="I35" i="7"/>
  <c r="I35" i="6"/>
  <c r="I35" i="8"/>
  <c r="I44" i="23"/>
  <c r="AJ96" i="23" s="1"/>
  <c r="I44" i="14"/>
  <c r="I44" i="9"/>
  <c r="I44" i="7"/>
  <c r="I44" i="6"/>
  <c r="I44" i="8"/>
  <c r="I24" i="23"/>
  <c r="I24" i="14"/>
  <c r="I24" i="6"/>
  <c r="I24" i="8"/>
  <c r="I24" i="7"/>
  <c r="I24" i="9"/>
  <c r="I9" i="24"/>
  <c r="I9" i="12"/>
  <c r="I9" i="13"/>
  <c r="I9" i="11"/>
  <c r="I9" i="10"/>
  <c r="I7" i="23"/>
  <c r="BD59" i="23" s="1"/>
  <c r="P13" i="5"/>
  <c r="I7" i="14"/>
  <c r="I7" i="8"/>
  <c r="I7" i="7"/>
  <c r="M63" i="6" s="1"/>
  <c r="I7" i="9"/>
  <c r="I7" i="6"/>
  <c r="I23" i="23"/>
  <c r="I23" i="6"/>
  <c r="I23" i="8"/>
  <c r="I23" i="14"/>
  <c r="I23" i="7"/>
  <c r="I23" i="9"/>
  <c r="I26" i="23"/>
  <c r="I26" i="14"/>
  <c r="I26" i="9"/>
  <c r="I26" i="7"/>
  <c r="I26" i="6"/>
  <c r="I26" i="8"/>
  <c r="I33" i="23"/>
  <c r="I33" i="8"/>
  <c r="I33" i="7"/>
  <c r="I33" i="14"/>
  <c r="I33" i="9"/>
  <c r="I33" i="6"/>
  <c r="I34" i="23"/>
  <c r="I34" i="14"/>
  <c r="I34" i="9"/>
  <c r="I34" i="7"/>
  <c r="I34" i="6"/>
  <c r="I34" i="8"/>
  <c r="I37" i="23"/>
  <c r="I37" i="14"/>
  <c r="I37" i="7"/>
  <c r="I37" i="9"/>
  <c r="I37" i="6"/>
  <c r="I37" i="8"/>
  <c r="I39" i="23"/>
  <c r="I39" i="14"/>
  <c r="I39" i="6"/>
  <c r="I39" i="8"/>
  <c r="I39" i="7"/>
  <c r="I39" i="9"/>
  <c r="I41" i="23"/>
  <c r="I41" i="14"/>
  <c r="I41" i="8"/>
  <c r="I41" i="7"/>
  <c r="I41" i="9"/>
  <c r="I41" i="6"/>
  <c r="I42" i="23"/>
  <c r="I42" i="14"/>
  <c r="I42" i="9"/>
  <c r="I42" i="7"/>
  <c r="I42" i="6"/>
  <c r="I42" i="8"/>
  <c r="I45" i="23"/>
  <c r="I45" i="14"/>
  <c r="I45" i="7"/>
  <c r="I45" i="9"/>
  <c r="I45" i="6"/>
  <c r="I45" i="8"/>
  <c r="I47" i="23"/>
  <c r="I47" i="14"/>
  <c r="I47" i="6"/>
  <c r="I47" i="8"/>
  <c r="I47" i="7"/>
  <c r="I47" i="9"/>
  <c r="I49" i="23"/>
  <c r="I49" i="14"/>
  <c r="I49" i="8"/>
  <c r="I49" i="7"/>
  <c r="I49" i="9"/>
  <c r="I49" i="6"/>
  <c r="I50" i="23"/>
  <c r="I50" i="14"/>
  <c r="I50" i="9"/>
  <c r="I50" i="7"/>
  <c r="M69" i="6" s="1"/>
  <c r="I50" i="6"/>
  <c r="I50" i="8"/>
  <c r="I6" i="24"/>
  <c r="I6" i="13"/>
  <c r="I6" i="12"/>
  <c r="I6" i="11"/>
  <c r="I6" i="10"/>
  <c r="I8" i="24"/>
  <c r="I8" i="11"/>
  <c r="I8" i="10"/>
  <c r="I8" i="13"/>
  <c r="I8" i="12"/>
  <c r="I10" i="24"/>
  <c r="I10" i="13"/>
  <c r="I10" i="12"/>
  <c r="I10" i="11"/>
  <c r="I10" i="10"/>
  <c r="I11" i="24"/>
  <c r="I11" i="13"/>
  <c r="I11" i="12"/>
  <c r="I11" i="11"/>
  <c r="I11" i="10"/>
  <c r="I14" i="24"/>
  <c r="I14" i="13"/>
  <c r="I14" i="12"/>
  <c r="I14" i="11"/>
  <c r="I14" i="10"/>
  <c r="I16" i="24"/>
  <c r="I16" i="11"/>
  <c r="I16" i="10"/>
  <c r="I16" i="12"/>
  <c r="I16" i="13"/>
  <c r="I18" i="24"/>
  <c r="I18" i="13"/>
  <c r="I18" i="12"/>
  <c r="I18" i="11"/>
  <c r="I18" i="10"/>
  <c r="I19" i="24"/>
  <c r="I19" i="13"/>
  <c r="I19" i="12"/>
  <c r="I19" i="11"/>
  <c r="I19" i="10"/>
  <c r="I22" i="24"/>
  <c r="I22" i="13"/>
  <c r="I22" i="12"/>
  <c r="I22" i="11"/>
  <c r="I22" i="10"/>
  <c r="I24" i="24"/>
  <c r="I24" i="12"/>
  <c r="I24" i="10"/>
  <c r="I24" i="11"/>
  <c r="I24" i="13"/>
  <c r="I26" i="24"/>
  <c r="I26" i="13"/>
  <c r="I26" i="11"/>
  <c r="I26" i="10"/>
  <c r="I26" i="12"/>
  <c r="I27" i="24"/>
  <c r="I27" i="13"/>
  <c r="I27" i="11"/>
  <c r="I27" i="10"/>
  <c r="I27" i="12"/>
  <c r="I30" i="24"/>
  <c r="I30" i="13"/>
  <c r="I30" i="12"/>
  <c r="I30" i="11"/>
  <c r="I30" i="10"/>
  <c r="I32" i="24"/>
  <c r="I32" i="13"/>
  <c r="I32" i="10"/>
  <c r="I32" i="12"/>
  <c r="I32" i="11"/>
  <c r="I34" i="24"/>
  <c r="Z76" i="24" s="1"/>
  <c r="I34" i="13"/>
  <c r="I34" i="12"/>
  <c r="I34" i="11"/>
  <c r="I34" i="10"/>
  <c r="I35" i="24"/>
  <c r="I35" i="13"/>
  <c r="I35" i="12"/>
  <c r="I35" i="11"/>
  <c r="I35" i="10"/>
  <c r="I38" i="24"/>
  <c r="AA80" i="24" s="1"/>
  <c r="I38" i="13"/>
  <c r="I38" i="12"/>
  <c r="I38" i="11"/>
  <c r="I38" i="10"/>
  <c r="I40" i="24"/>
  <c r="I40" i="10"/>
  <c r="I40" i="12"/>
  <c r="I40" i="11"/>
  <c r="I40" i="13"/>
  <c r="I9" i="23"/>
  <c r="AN61" i="23" s="1"/>
  <c r="I9" i="14"/>
  <c r="I9" i="8"/>
  <c r="I9" i="7"/>
  <c r="I9" i="9"/>
  <c r="I9" i="6"/>
  <c r="I17" i="23"/>
  <c r="AI69" i="23" s="1"/>
  <c r="I17" i="14"/>
  <c r="I17" i="8"/>
  <c r="I17" i="7"/>
  <c r="I17" i="9"/>
  <c r="I17" i="6"/>
  <c r="I25" i="23"/>
  <c r="I25" i="8"/>
  <c r="I25" i="14"/>
  <c r="I25" i="9"/>
  <c r="I25" i="7"/>
  <c r="I25" i="6"/>
  <c r="I29" i="23"/>
  <c r="I29" i="7"/>
  <c r="I29" i="14"/>
  <c r="I29" i="9"/>
  <c r="I29" i="6"/>
  <c r="I29" i="8"/>
  <c r="I31" i="23"/>
  <c r="I31" i="6"/>
  <c r="I31" i="14"/>
  <c r="I31" i="8"/>
  <c r="I31" i="7"/>
  <c r="I31" i="9"/>
  <c r="I5" i="23"/>
  <c r="P12" i="5"/>
  <c r="I5" i="9"/>
  <c r="I5" i="6"/>
  <c r="I5" i="8"/>
  <c r="I5" i="14"/>
  <c r="I5" i="7"/>
  <c r="I13" i="23"/>
  <c r="I13" i="9"/>
  <c r="I13" i="6"/>
  <c r="I13" i="14"/>
  <c r="I13" i="8"/>
  <c r="I13" i="7"/>
  <c r="I15" i="23"/>
  <c r="BD67" i="23" s="1"/>
  <c r="I15" i="14"/>
  <c r="I15" i="8"/>
  <c r="I15" i="7"/>
  <c r="I15" i="6"/>
  <c r="I15" i="9"/>
  <c r="AJ2" i="16"/>
  <c r="AJ7" i="16" s="1"/>
  <c r="AO3" i="16"/>
  <c r="AO4" i="16"/>
  <c r="AT5" i="16"/>
  <c r="AJ6" i="16"/>
  <c r="AT6" i="16"/>
  <c r="AM57" i="7"/>
  <c r="AJ5" i="16"/>
  <c r="AO2" i="16"/>
  <c r="AO7" i="16" s="1"/>
  <c r="AO6" i="16"/>
  <c r="AJ3" i="16"/>
  <c r="AT3" i="16"/>
  <c r="AT4" i="16"/>
  <c r="AJ4" i="16"/>
  <c r="AT2" i="16"/>
  <c r="AA10" i="21"/>
  <c r="AA9" i="21"/>
  <c r="AO5" i="16"/>
  <c r="AD10" i="21"/>
  <c r="AA12" i="21"/>
  <c r="AD11" i="21"/>
  <c r="AA11" i="21"/>
  <c r="P16" i="5"/>
  <c r="AC40" i="17"/>
  <c r="AD9" i="21"/>
  <c r="P17" i="5"/>
  <c r="AC48" i="17"/>
  <c r="AC56" i="17"/>
  <c r="AC64" i="17"/>
  <c r="AC88" i="17"/>
  <c r="AC96" i="17"/>
  <c r="AC104" i="17"/>
  <c r="AC112" i="17"/>
  <c r="AC120" i="17"/>
  <c r="AC128" i="17"/>
  <c r="AC26" i="17"/>
  <c r="AC28" i="17"/>
  <c r="AC30" i="17"/>
  <c r="AC32" i="17"/>
  <c r="AC34" i="17"/>
  <c r="AC36" i="17"/>
  <c r="AC146" i="17"/>
  <c r="AC148" i="17"/>
  <c r="AC150" i="17"/>
  <c r="AC152" i="17"/>
  <c r="AC154" i="17"/>
  <c r="AC156" i="17"/>
  <c r="AI3" i="21"/>
  <c r="X4" i="21"/>
  <c r="AF4" i="21" s="1"/>
  <c r="Y6" i="21"/>
  <c r="AG6" i="21" s="1"/>
  <c r="AJ8" i="21"/>
  <c r="AG13" i="21"/>
  <c r="E36" i="5"/>
  <c r="AJ3" i="21"/>
  <c r="AC27" i="17"/>
  <c r="AC29" i="17"/>
  <c r="AC31" i="17"/>
  <c r="AC33" i="17"/>
  <c r="AC35" i="17"/>
  <c r="AC37" i="17"/>
  <c r="AC145" i="17"/>
  <c r="AC147" i="17"/>
  <c r="AC149" i="17"/>
  <c r="AC151" i="17"/>
  <c r="AC153" i="17"/>
  <c r="AC155" i="17"/>
  <c r="X8" i="21"/>
  <c r="AF8" i="21" s="1"/>
  <c r="P15" i="5"/>
  <c r="AJ6" i="21"/>
  <c r="AG5" i="21"/>
  <c r="R11" i="5"/>
  <c r="R10" i="5"/>
  <c r="F36" i="5"/>
  <c r="D30" i="5" s="1"/>
  <c r="W56" i="6"/>
  <c r="AY58" i="23"/>
  <c r="AQ58" i="23"/>
  <c r="AI58" i="23"/>
  <c r="AX58" i="23"/>
  <c r="AP58" i="23"/>
  <c r="AW58" i="23"/>
  <c r="AO58" i="23"/>
  <c r="BD58" i="23"/>
  <c r="AV58" i="23"/>
  <c r="AN58" i="23"/>
  <c r="BC58" i="23"/>
  <c r="AU58" i="23"/>
  <c r="AM58" i="23"/>
  <c r="BB58" i="23"/>
  <c r="AT58" i="23"/>
  <c r="AL58" i="23"/>
  <c r="AJ58" i="23"/>
  <c r="BC59" i="23"/>
  <c r="AU59" i="23"/>
  <c r="AM59" i="23"/>
  <c r="BB59" i="23"/>
  <c r="AT59" i="23"/>
  <c r="AL59" i="23"/>
  <c r="BA59" i="23"/>
  <c r="AS59" i="23"/>
  <c r="AK59" i="23"/>
  <c r="AZ59" i="23"/>
  <c r="AR59" i="23"/>
  <c r="AJ59" i="23"/>
  <c r="AY59" i="23"/>
  <c r="AQ59" i="23"/>
  <c r="AI59" i="23"/>
  <c r="AX59" i="23"/>
  <c r="AP59" i="23"/>
  <c r="BC67" i="23"/>
  <c r="AU67" i="23"/>
  <c r="AM67" i="23"/>
  <c r="BB67" i="23"/>
  <c r="AT67" i="23"/>
  <c r="AL67" i="23"/>
  <c r="BA67" i="23"/>
  <c r="AS67" i="23"/>
  <c r="AK67" i="23"/>
  <c r="AZ67" i="23"/>
  <c r="AR67" i="23"/>
  <c r="AJ67" i="23"/>
  <c r="AY67" i="23"/>
  <c r="AQ67" i="23"/>
  <c r="AI67" i="23"/>
  <c r="AX67" i="23"/>
  <c r="AP67" i="23"/>
  <c r="AX75" i="23"/>
  <c r="AP75" i="23"/>
  <c r="AW75" i="23"/>
  <c r="AO75" i="23"/>
  <c r="P75" i="23"/>
  <c r="BD75" i="23"/>
  <c r="AV75" i="23"/>
  <c r="AN75" i="23"/>
  <c r="BC75" i="23"/>
  <c r="AU75" i="23"/>
  <c r="AM75" i="23"/>
  <c r="BB75" i="23"/>
  <c r="AT75" i="23"/>
  <c r="AL75" i="23"/>
  <c r="AZ75" i="23"/>
  <c r="AR75" i="23"/>
  <c r="AJ75" i="23"/>
  <c r="BA75" i="23"/>
  <c r="AY75" i="23"/>
  <c r="R75" i="23"/>
  <c r="AS75" i="23"/>
  <c r="AQ75" i="23"/>
  <c r="AK75" i="23"/>
  <c r="AI75" i="23"/>
  <c r="BD83" i="23"/>
  <c r="AV83" i="23"/>
  <c r="AN83" i="23"/>
  <c r="BC83" i="23"/>
  <c r="AU83" i="23"/>
  <c r="AM83" i="23"/>
  <c r="BB83" i="23"/>
  <c r="AT83" i="23"/>
  <c r="AL83" i="23"/>
  <c r="BA83" i="23"/>
  <c r="AS83" i="23"/>
  <c r="AK83" i="23"/>
  <c r="AZ83" i="23"/>
  <c r="AR83" i="23"/>
  <c r="AJ83" i="23"/>
  <c r="AO83" i="23"/>
  <c r="AI83" i="23"/>
  <c r="AY83" i="23"/>
  <c r="AX83" i="23"/>
  <c r="AW83" i="23"/>
  <c r="AQ83" i="23"/>
  <c r="BB91" i="23"/>
  <c r="AT91" i="23"/>
  <c r="AL91" i="23"/>
  <c r="BA91" i="23"/>
  <c r="AS91" i="23"/>
  <c r="AK91" i="23"/>
  <c r="AZ91" i="23"/>
  <c r="AR91" i="23"/>
  <c r="AJ91" i="23"/>
  <c r="AY91" i="23"/>
  <c r="AQ91" i="23"/>
  <c r="AI91" i="23"/>
  <c r="AX91" i="23"/>
  <c r="AP91" i="23"/>
  <c r="AW91" i="23"/>
  <c r="AO91" i="23"/>
  <c r="BD91" i="23"/>
  <c r="BC91" i="23"/>
  <c r="AV91" i="23"/>
  <c r="AU91" i="23"/>
  <c r="AN91" i="23"/>
  <c r="AM91" i="23"/>
  <c r="BB99" i="23"/>
  <c r="AT99" i="23"/>
  <c r="AL99" i="23"/>
  <c r="BA99" i="23"/>
  <c r="AS99" i="23"/>
  <c r="AK99" i="23"/>
  <c r="AZ99" i="23"/>
  <c r="AR99" i="23"/>
  <c r="AJ99" i="23"/>
  <c r="AY99" i="23"/>
  <c r="AQ99" i="23"/>
  <c r="AI99" i="23"/>
  <c r="AX99" i="23"/>
  <c r="AP99" i="23"/>
  <c r="AW99" i="23"/>
  <c r="AO99" i="23"/>
  <c r="BD99" i="23"/>
  <c r="BC99" i="23"/>
  <c r="AV99" i="23"/>
  <c r="AU99" i="23"/>
  <c r="AN99" i="23"/>
  <c r="AM99" i="23"/>
  <c r="AW57" i="23"/>
  <c r="AK58" i="23"/>
  <c r="BA62" i="23"/>
  <c r="AO63" i="23"/>
  <c r="AW65" i="23"/>
  <c r="AK66" i="23"/>
  <c r="AO74" i="23"/>
  <c r="AZ82" i="23"/>
  <c r="AR82" i="23"/>
  <c r="AJ82" i="23"/>
  <c r="AY82" i="23"/>
  <c r="AQ82" i="23"/>
  <c r="AI82" i="23"/>
  <c r="AX82" i="23"/>
  <c r="AP82" i="23"/>
  <c r="AW82" i="23"/>
  <c r="AO82" i="23"/>
  <c r="BD82" i="23"/>
  <c r="AV82" i="23"/>
  <c r="AN82" i="23"/>
  <c r="AM82" i="23"/>
  <c r="AL82" i="23"/>
  <c r="BC82" i="23"/>
  <c r="AK82" i="23"/>
  <c r="BB82" i="23"/>
  <c r="BA82" i="23"/>
  <c r="AU82" i="23"/>
  <c r="AT82" i="23"/>
  <c r="AS82" i="23"/>
  <c r="AJ66" i="23"/>
  <c r="AY60" i="23"/>
  <c r="AQ60" i="23"/>
  <c r="AI60" i="23"/>
  <c r="AX60" i="23"/>
  <c r="AP60" i="23"/>
  <c r="AW60" i="23"/>
  <c r="AO60" i="23"/>
  <c r="BD60" i="23"/>
  <c r="AV60" i="23"/>
  <c r="AN60" i="23"/>
  <c r="BC60" i="23"/>
  <c r="AU60" i="23"/>
  <c r="AM60" i="23"/>
  <c r="BB60" i="23"/>
  <c r="AT60" i="23"/>
  <c r="AL60" i="23"/>
  <c r="BB68" i="23"/>
  <c r="AT68" i="23"/>
  <c r="AL68" i="23"/>
  <c r="BA68" i="23"/>
  <c r="AX68" i="23"/>
  <c r="AP68" i="23"/>
  <c r="BD68" i="23"/>
  <c r="AV68" i="23"/>
  <c r="AZ68" i="23"/>
  <c r="AN68" i="23"/>
  <c r="AY68" i="23"/>
  <c r="AM68" i="23"/>
  <c r="AW68" i="23"/>
  <c r="AK68" i="23"/>
  <c r="AU68" i="23"/>
  <c r="AJ68" i="23"/>
  <c r="AS68" i="23"/>
  <c r="AI68" i="23"/>
  <c r="AR68" i="23"/>
  <c r="BB76" i="23"/>
  <c r="AT76" i="23"/>
  <c r="AL76" i="23"/>
  <c r="BA76" i="23"/>
  <c r="AS76" i="23"/>
  <c r="AK76" i="23"/>
  <c r="AZ76" i="23"/>
  <c r="AR76" i="23"/>
  <c r="AJ76" i="23"/>
  <c r="AY76" i="23"/>
  <c r="AQ76" i="23"/>
  <c r="AI76" i="23"/>
  <c r="R76" i="23"/>
  <c r="AX76" i="23"/>
  <c r="AP76" i="23"/>
  <c r="BD76" i="23"/>
  <c r="AV76" i="23"/>
  <c r="AN76" i="23"/>
  <c r="AO76" i="23"/>
  <c r="AM76" i="23"/>
  <c r="BC76" i="23"/>
  <c r="AZ84" i="23"/>
  <c r="AR84" i="23"/>
  <c r="AJ84" i="23"/>
  <c r="AY84" i="23"/>
  <c r="AQ84" i="23"/>
  <c r="AI84" i="23"/>
  <c r="AX84" i="23"/>
  <c r="AP84" i="23"/>
  <c r="AW84" i="23"/>
  <c r="AO84" i="23"/>
  <c r="BD84" i="23"/>
  <c r="AV84" i="23"/>
  <c r="AN84" i="23"/>
  <c r="AL84" i="23"/>
  <c r="BC84" i="23"/>
  <c r="AK84" i="23"/>
  <c r="BB84" i="23"/>
  <c r="BA84" i="23"/>
  <c r="AU84" i="23"/>
  <c r="AT84" i="23"/>
  <c r="AS84" i="23"/>
  <c r="AM84" i="23"/>
  <c r="AX92" i="23"/>
  <c r="AP92" i="23"/>
  <c r="AW92" i="23"/>
  <c r="AO92" i="23"/>
  <c r="BD92" i="23"/>
  <c r="AV92" i="23"/>
  <c r="AN92" i="23"/>
  <c r="BC92" i="23"/>
  <c r="AU92" i="23"/>
  <c r="AM92" i="23"/>
  <c r="BB92" i="23"/>
  <c r="AT92" i="23"/>
  <c r="AL92" i="23"/>
  <c r="BA92" i="23"/>
  <c r="AS92" i="23"/>
  <c r="AK92" i="23"/>
  <c r="AR92" i="23"/>
  <c r="AQ92" i="23"/>
  <c r="AJ92" i="23"/>
  <c r="AI92" i="23"/>
  <c r="AZ92" i="23"/>
  <c r="AY92" i="23"/>
  <c r="AX100" i="23"/>
  <c r="AP100" i="23"/>
  <c r="AW100" i="23"/>
  <c r="AO100" i="23"/>
  <c r="BD100" i="23"/>
  <c r="AV100" i="23"/>
  <c r="AN100" i="23"/>
  <c r="BC100" i="23"/>
  <c r="AU100" i="23"/>
  <c r="AM100" i="23"/>
  <c r="BB100" i="23"/>
  <c r="AT100" i="23"/>
  <c r="AL100" i="23"/>
  <c r="BA100" i="23"/>
  <c r="AS100" i="23"/>
  <c r="AK100" i="23"/>
  <c r="AR100" i="23"/>
  <c r="AQ100" i="23"/>
  <c r="AJ100" i="23"/>
  <c r="AI100" i="23"/>
  <c r="AZ100" i="23"/>
  <c r="AY100" i="23"/>
  <c r="BD57" i="23"/>
  <c r="AR58" i="23"/>
  <c r="AZ60" i="23"/>
  <c r="AV63" i="23"/>
  <c r="AJ64" i="23"/>
  <c r="BD65" i="23"/>
  <c r="AR66" i="23"/>
  <c r="R79" i="23"/>
  <c r="AX98" i="23"/>
  <c r="AP98" i="23"/>
  <c r="AW98" i="23"/>
  <c r="AO98" i="23"/>
  <c r="BD98" i="23"/>
  <c r="AV98" i="23"/>
  <c r="AN98" i="23"/>
  <c r="BC98" i="23"/>
  <c r="AU98" i="23"/>
  <c r="AM98" i="23"/>
  <c r="BB98" i="23"/>
  <c r="AT98" i="23"/>
  <c r="AL98" i="23"/>
  <c r="BA98" i="23"/>
  <c r="AS98" i="23"/>
  <c r="AK98" i="23"/>
  <c r="AJ98" i="23"/>
  <c r="AI98" i="23"/>
  <c r="AZ98" i="23"/>
  <c r="AY98" i="23"/>
  <c r="AR98" i="23"/>
  <c r="BC61" i="23"/>
  <c r="AU61" i="23"/>
  <c r="AM61" i="23"/>
  <c r="BB61" i="23"/>
  <c r="AT61" i="23"/>
  <c r="AL61" i="23"/>
  <c r="BA61" i="23"/>
  <c r="T8" i="25" s="1"/>
  <c r="AS61" i="23"/>
  <c r="AK61" i="23"/>
  <c r="AZ61" i="23"/>
  <c r="AR61" i="23"/>
  <c r="AJ61" i="23"/>
  <c r="AY61" i="23"/>
  <c r="AQ61" i="23"/>
  <c r="AI61" i="23"/>
  <c r="AX61" i="23"/>
  <c r="AP61" i="23"/>
  <c r="AX69" i="23"/>
  <c r="AP69" i="23"/>
  <c r="AW69" i="23"/>
  <c r="AO69" i="23"/>
  <c r="BD69" i="23"/>
  <c r="AV69" i="23"/>
  <c r="AN69" i="23"/>
  <c r="BC69" i="23"/>
  <c r="AU69" i="23"/>
  <c r="AM69" i="23"/>
  <c r="BB69" i="23"/>
  <c r="AT69" i="23"/>
  <c r="AL69" i="23"/>
  <c r="AZ69" i="23"/>
  <c r="AR69" i="23"/>
  <c r="AJ69" i="23"/>
  <c r="BA69" i="23"/>
  <c r="AY69" i="23"/>
  <c r="AS69" i="23"/>
  <c r="AQ69" i="23"/>
  <c r="BC77" i="23"/>
  <c r="AU77" i="23"/>
  <c r="AM77" i="23"/>
  <c r="BB77" i="23"/>
  <c r="AT77" i="23"/>
  <c r="AL77" i="23"/>
  <c r="BA77" i="23"/>
  <c r="AS77" i="23"/>
  <c r="AK77" i="23"/>
  <c r="AZ77" i="23"/>
  <c r="AR77" i="23"/>
  <c r="AJ77" i="23"/>
  <c r="AP77" i="23"/>
  <c r="AO77" i="23"/>
  <c r="BD77" i="23"/>
  <c r="AN77" i="23"/>
  <c r="AY77" i="23"/>
  <c r="AI77" i="23"/>
  <c r="AX77" i="23"/>
  <c r="AV77" i="23"/>
  <c r="BD85" i="23"/>
  <c r="AV85" i="23"/>
  <c r="AN85" i="23"/>
  <c r="BC85" i="23"/>
  <c r="AU85" i="23"/>
  <c r="AM85" i="23"/>
  <c r="BB85" i="23"/>
  <c r="AT85" i="23"/>
  <c r="AL85" i="23"/>
  <c r="BA85" i="23"/>
  <c r="AS85" i="23"/>
  <c r="AK85" i="23"/>
  <c r="AZ85" i="23"/>
  <c r="AR85" i="23"/>
  <c r="AJ85" i="23"/>
  <c r="AI85" i="23"/>
  <c r="AY85" i="23"/>
  <c r="AX85" i="23"/>
  <c r="AW85" i="23"/>
  <c r="AQ85" i="23"/>
  <c r="AP85" i="23"/>
  <c r="AO85" i="23"/>
  <c r="BB93" i="23"/>
  <c r="AT93" i="23"/>
  <c r="AL93" i="23"/>
  <c r="BA93" i="23"/>
  <c r="AS93" i="23"/>
  <c r="AK93" i="23"/>
  <c r="AZ93" i="23"/>
  <c r="AR93" i="23"/>
  <c r="AJ93" i="23"/>
  <c r="AY93" i="23"/>
  <c r="AQ93" i="23"/>
  <c r="AI93" i="23"/>
  <c r="AX93" i="23"/>
  <c r="AP93" i="23"/>
  <c r="AW93" i="23"/>
  <c r="AO93" i="23"/>
  <c r="BD93" i="23"/>
  <c r="BC93" i="23"/>
  <c r="AV93" i="23"/>
  <c r="AU93" i="23"/>
  <c r="AN93" i="23"/>
  <c r="AM93" i="23"/>
  <c r="BB101" i="23"/>
  <c r="AT101" i="23"/>
  <c r="AL101" i="23"/>
  <c r="BA101" i="23"/>
  <c r="AS101" i="23"/>
  <c r="AK101" i="23"/>
  <c r="AZ101" i="23"/>
  <c r="AR101" i="23"/>
  <c r="AJ101" i="23"/>
  <c r="AY101" i="23"/>
  <c r="AQ101" i="23"/>
  <c r="AI101" i="23"/>
  <c r="AX101" i="23"/>
  <c r="AP101" i="23"/>
  <c r="AW101" i="23"/>
  <c r="AO101" i="23"/>
  <c r="BD101" i="23"/>
  <c r="BC101" i="23"/>
  <c r="AV101" i="23"/>
  <c r="AU101" i="23"/>
  <c r="AN101" i="23"/>
  <c r="AM101" i="23"/>
  <c r="AS58" i="23"/>
  <c r="BA60" i="23"/>
  <c r="AO61" i="23"/>
  <c r="AW63" i="23"/>
  <c r="AK64" i="23"/>
  <c r="AK69" i="23"/>
  <c r="AQ98" i="23"/>
  <c r="AY66" i="23"/>
  <c r="AQ66" i="23"/>
  <c r="AI66" i="23"/>
  <c r="AX66" i="23"/>
  <c r="AP66" i="23"/>
  <c r="AW66" i="23"/>
  <c r="AO66" i="23"/>
  <c r="BD66" i="23"/>
  <c r="AV66" i="23"/>
  <c r="AN66" i="23"/>
  <c r="BC66" i="23"/>
  <c r="AU66" i="23"/>
  <c r="AM66" i="23"/>
  <c r="BB66" i="23"/>
  <c r="AT66" i="23"/>
  <c r="AL66" i="23"/>
  <c r="AY62" i="23"/>
  <c r="AQ62" i="23"/>
  <c r="AI62" i="23"/>
  <c r="AX62" i="23"/>
  <c r="AP62" i="23"/>
  <c r="AW62" i="23"/>
  <c r="AO62" i="23"/>
  <c r="BD62" i="23"/>
  <c r="AV62" i="23"/>
  <c r="AN62" i="23"/>
  <c r="BC62" i="23"/>
  <c r="AU62" i="23"/>
  <c r="AM62" i="23"/>
  <c r="F8" i="25" s="1"/>
  <c r="BB62" i="23"/>
  <c r="AT62" i="23"/>
  <c r="AL62" i="23"/>
  <c r="BB70" i="23"/>
  <c r="AT70" i="23"/>
  <c r="AL70" i="23"/>
  <c r="BA70" i="23"/>
  <c r="AS70" i="23"/>
  <c r="AK70" i="23"/>
  <c r="AZ70" i="23"/>
  <c r="AR70" i="23"/>
  <c r="AJ70" i="23"/>
  <c r="AY70" i="23"/>
  <c r="AQ70" i="23"/>
  <c r="AI70" i="23"/>
  <c r="AX70" i="23"/>
  <c r="AP70" i="23"/>
  <c r="BD70" i="23"/>
  <c r="AV70" i="23"/>
  <c r="AN70" i="23"/>
  <c r="AW70" i="23"/>
  <c r="AU70" i="23"/>
  <c r="AO70" i="23"/>
  <c r="AM70" i="23"/>
  <c r="AY78" i="23"/>
  <c r="AQ78" i="23"/>
  <c r="AI78" i="23"/>
  <c r="R78" i="23"/>
  <c r="AX78" i="23"/>
  <c r="AP78" i="23"/>
  <c r="AW78" i="23"/>
  <c r="AO78" i="23"/>
  <c r="P78" i="23"/>
  <c r="BD78" i="23"/>
  <c r="AV78" i="23"/>
  <c r="AN78" i="23"/>
  <c r="AT78" i="23"/>
  <c r="AS78" i="23"/>
  <c r="AR78" i="23"/>
  <c r="BC78" i="23"/>
  <c r="AM78" i="23"/>
  <c r="BB78" i="23"/>
  <c r="AL78" i="23"/>
  <c r="AZ78" i="23"/>
  <c r="AJ78" i="23"/>
  <c r="BA78" i="23"/>
  <c r="AU78" i="23"/>
  <c r="AK78" i="23"/>
  <c r="AZ86" i="23"/>
  <c r="AR86" i="23"/>
  <c r="AJ86" i="23"/>
  <c r="AY86" i="23"/>
  <c r="AQ86" i="23"/>
  <c r="AI86" i="23"/>
  <c r="AX86" i="23"/>
  <c r="AP86" i="23"/>
  <c r="AW86" i="23"/>
  <c r="AO86" i="23"/>
  <c r="BD86" i="23"/>
  <c r="AV86" i="23"/>
  <c r="AN86" i="23"/>
  <c r="BC86" i="23"/>
  <c r="AK86" i="23"/>
  <c r="BB86" i="23"/>
  <c r="BA86" i="23"/>
  <c r="AU86" i="23"/>
  <c r="AT86" i="23"/>
  <c r="AS86" i="23"/>
  <c r="AM86" i="23"/>
  <c r="AL86" i="23"/>
  <c r="AX94" i="23"/>
  <c r="AP94" i="23"/>
  <c r="AW94" i="23"/>
  <c r="AO94" i="23"/>
  <c r="BD94" i="23"/>
  <c r="AV94" i="23"/>
  <c r="AN94" i="23"/>
  <c r="BC94" i="23"/>
  <c r="AU94" i="23"/>
  <c r="AM94" i="23"/>
  <c r="BB94" i="23"/>
  <c r="AT94" i="23"/>
  <c r="AL94" i="23"/>
  <c r="BA94" i="23"/>
  <c r="AS94" i="23"/>
  <c r="AK94" i="23"/>
  <c r="AZ94" i="23"/>
  <c r="AY94" i="23"/>
  <c r="AR94" i="23"/>
  <c r="AQ94" i="23"/>
  <c r="AJ94" i="23"/>
  <c r="AI94" i="23"/>
  <c r="BD102" i="23"/>
  <c r="AX102" i="23"/>
  <c r="AP102" i="23"/>
  <c r="AW102" i="23"/>
  <c r="AO102" i="23"/>
  <c r="AV102" i="23"/>
  <c r="AN102" i="23"/>
  <c r="BC102" i="23"/>
  <c r="AU102" i="23"/>
  <c r="AM102" i="23"/>
  <c r="BB102" i="23"/>
  <c r="AT102" i="23"/>
  <c r="AL102" i="23"/>
  <c r="BA102" i="23"/>
  <c r="AS102" i="23"/>
  <c r="AK102" i="23"/>
  <c r="AZ102" i="23"/>
  <c r="AY102" i="23"/>
  <c r="AR102" i="23"/>
  <c r="AQ102" i="23"/>
  <c r="AJ102" i="23"/>
  <c r="AI102" i="23"/>
  <c r="AZ58" i="23"/>
  <c r="AN59" i="23"/>
  <c r="AV61" i="23"/>
  <c r="AJ62" i="23"/>
  <c r="AR64" i="23"/>
  <c r="AZ66" i="23"/>
  <c r="AN67" i="23"/>
  <c r="R73" i="23"/>
  <c r="AM80" i="23"/>
  <c r="BC63" i="23"/>
  <c r="AU63" i="23"/>
  <c r="AM63" i="23"/>
  <c r="BB63" i="23"/>
  <c r="AT63" i="23"/>
  <c r="AL63" i="23"/>
  <c r="BA63" i="23"/>
  <c r="AS63" i="23"/>
  <c r="AK63" i="23"/>
  <c r="AZ63" i="23"/>
  <c r="AR63" i="23"/>
  <c r="AJ63" i="23"/>
  <c r="AY63" i="23"/>
  <c r="AQ63" i="23"/>
  <c r="AI63" i="23"/>
  <c r="AX63" i="23"/>
  <c r="AP63" i="23"/>
  <c r="AX71" i="23"/>
  <c r="AP71" i="23"/>
  <c r="AW71" i="23"/>
  <c r="AO71" i="23"/>
  <c r="BD71" i="23"/>
  <c r="AV71" i="23"/>
  <c r="AN71" i="23"/>
  <c r="BC71" i="23"/>
  <c r="AU71" i="23"/>
  <c r="AM71" i="23"/>
  <c r="BB71" i="23"/>
  <c r="AT71" i="23"/>
  <c r="AL71" i="23"/>
  <c r="AZ71" i="23"/>
  <c r="AR71" i="23"/>
  <c r="AJ71" i="23"/>
  <c r="AK71" i="23"/>
  <c r="AI71" i="23"/>
  <c r="BA71" i="23"/>
  <c r="AY71" i="23"/>
  <c r="BC79" i="23"/>
  <c r="AU79" i="23"/>
  <c r="AM79" i="23"/>
  <c r="BB79" i="23"/>
  <c r="AT79" i="23"/>
  <c r="AL79" i="23"/>
  <c r="BA79" i="23"/>
  <c r="AS79" i="23"/>
  <c r="AK79" i="23"/>
  <c r="AZ79" i="23"/>
  <c r="AR79" i="23"/>
  <c r="AJ79" i="23"/>
  <c r="AX79" i="23"/>
  <c r="AW79" i="23"/>
  <c r="P79" i="23"/>
  <c r="AV79" i="23"/>
  <c r="AQ79" i="23"/>
  <c r="AP79" i="23"/>
  <c r="BD79" i="23"/>
  <c r="AN79" i="23"/>
  <c r="AY79" i="23"/>
  <c r="AO79" i="23"/>
  <c r="AI79" i="23"/>
  <c r="BD87" i="23"/>
  <c r="AV87" i="23"/>
  <c r="AN87" i="23"/>
  <c r="BC87" i="23"/>
  <c r="AU87" i="23"/>
  <c r="AM87" i="23"/>
  <c r="BB87" i="23"/>
  <c r="AT87" i="23"/>
  <c r="AL87" i="23"/>
  <c r="BA87" i="23"/>
  <c r="AS87" i="23"/>
  <c r="AK87" i="23"/>
  <c r="AZ87" i="23"/>
  <c r="AR87" i="23"/>
  <c r="AJ87" i="23"/>
  <c r="AY87" i="23"/>
  <c r="AX87" i="23"/>
  <c r="AW87" i="23"/>
  <c r="AQ87" i="23"/>
  <c r="AP87" i="23"/>
  <c r="AO87" i="23"/>
  <c r="BB95" i="23"/>
  <c r="AT95" i="23"/>
  <c r="AL95" i="23"/>
  <c r="BA95" i="23"/>
  <c r="AS95" i="23"/>
  <c r="AK95" i="23"/>
  <c r="AZ95" i="23"/>
  <c r="AR95" i="23"/>
  <c r="AJ95" i="23"/>
  <c r="AY95" i="23"/>
  <c r="AQ95" i="23"/>
  <c r="AI95" i="23"/>
  <c r="AX95" i="23"/>
  <c r="AP95" i="23"/>
  <c r="AW95" i="23"/>
  <c r="AO95" i="23"/>
  <c r="AN95" i="23"/>
  <c r="AM95" i="23"/>
  <c r="BD95" i="23"/>
  <c r="BC95" i="23"/>
  <c r="AV95" i="23"/>
  <c r="AU95" i="23"/>
  <c r="BB103" i="23"/>
  <c r="AT103" i="23"/>
  <c r="AL103" i="23"/>
  <c r="BA103" i="23"/>
  <c r="AS103" i="23"/>
  <c r="AK103" i="23"/>
  <c r="AZ103" i="23"/>
  <c r="AR103" i="23"/>
  <c r="AJ103" i="23"/>
  <c r="AY103" i="23"/>
  <c r="AQ103" i="23"/>
  <c r="AI103" i="23"/>
  <c r="AX103" i="23"/>
  <c r="AP103" i="23"/>
  <c r="AW103" i="23"/>
  <c r="AO103" i="23"/>
  <c r="BD103" i="23"/>
  <c r="AV103" i="23"/>
  <c r="AN103" i="23"/>
  <c r="BC103" i="23"/>
  <c r="AU103" i="23"/>
  <c r="AM103" i="23"/>
  <c r="BA58" i="23"/>
  <c r="AO59" i="23"/>
  <c r="AW61" i="23"/>
  <c r="AK62" i="23"/>
  <c r="BA66" i="23"/>
  <c r="AO67" i="23"/>
  <c r="P76" i="23"/>
  <c r="AX90" i="23"/>
  <c r="AP90" i="23"/>
  <c r="AW90" i="23"/>
  <c r="AO90" i="23"/>
  <c r="BD90" i="23"/>
  <c r="AV90" i="23"/>
  <c r="AN90" i="23"/>
  <c r="BC90" i="23"/>
  <c r="AU90" i="23"/>
  <c r="AM90" i="23"/>
  <c r="BB90" i="23"/>
  <c r="AT90" i="23"/>
  <c r="AL90" i="23"/>
  <c r="BA90" i="23"/>
  <c r="AS90" i="23"/>
  <c r="AK90" i="23"/>
  <c r="AJ90" i="23"/>
  <c r="AI90" i="23"/>
  <c r="AZ90" i="23"/>
  <c r="AQ90" i="23"/>
  <c r="AY90" i="23"/>
  <c r="AR90" i="23"/>
  <c r="AY64" i="23"/>
  <c r="AQ64" i="23"/>
  <c r="AI64" i="23"/>
  <c r="AX64" i="23"/>
  <c r="AP64" i="23"/>
  <c r="AW64" i="23"/>
  <c r="AO64" i="23"/>
  <c r="BD64" i="23"/>
  <c r="AV64" i="23"/>
  <c r="AN64" i="23"/>
  <c r="BC64" i="23"/>
  <c r="AU64" i="23"/>
  <c r="AM64" i="23"/>
  <c r="BB64" i="23"/>
  <c r="AT64" i="23"/>
  <c r="AL64" i="23"/>
  <c r="BB72" i="23"/>
  <c r="AT72" i="23"/>
  <c r="AL72" i="23"/>
  <c r="BA72" i="23"/>
  <c r="AS72" i="23"/>
  <c r="AK72" i="23"/>
  <c r="AZ72" i="23"/>
  <c r="AR72" i="23"/>
  <c r="AJ72" i="23"/>
  <c r="AY72" i="23"/>
  <c r="AQ72" i="23"/>
  <c r="AI72" i="23"/>
  <c r="AX72" i="23"/>
  <c r="AP72" i="23"/>
  <c r="BD72" i="23"/>
  <c r="AV72" i="23"/>
  <c r="AN72" i="23"/>
  <c r="BC72" i="23"/>
  <c r="AW72" i="23"/>
  <c r="AU72" i="23"/>
  <c r="AO72" i="23"/>
  <c r="AM72" i="23"/>
  <c r="AY80" i="23"/>
  <c r="AQ80" i="23"/>
  <c r="AI80" i="23"/>
  <c r="R80" i="23"/>
  <c r="AX80" i="23"/>
  <c r="AP80" i="23"/>
  <c r="AW80" i="23"/>
  <c r="AO80" i="23"/>
  <c r="P80" i="23"/>
  <c r="BD80" i="23"/>
  <c r="AV80" i="23"/>
  <c r="AN80" i="23"/>
  <c r="BB80" i="23"/>
  <c r="AL80" i="23"/>
  <c r="BA80" i="23"/>
  <c r="AK80" i="23"/>
  <c r="AZ80" i="23"/>
  <c r="AJ80" i="23"/>
  <c r="AU80" i="23"/>
  <c r="AT80" i="23"/>
  <c r="AR80" i="23"/>
  <c r="BC80" i="23"/>
  <c r="AX88" i="23"/>
  <c r="AP88" i="23"/>
  <c r="BD88" i="23"/>
  <c r="AV88" i="23"/>
  <c r="AN88" i="23"/>
  <c r="BC88" i="23"/>
  <c r="AU88" i="23"/>
  <c r="AM88" i="23"/>
  <c r="BB88" i="23"/>
  <c r="AT88" i="23"/>
  <c r="AL88" i="23"/>
  <c r="AZ88" i="23"/>
  <c r="AJ88" i="23"/>
  <c r="AY88" i="23"/>
  <c r="AI88" i="23"/>
  <c r="AW88" i="23"/>
  <c r="AS88" i="23"/>
  <c r="AR88" i="23"/>
  <c r="BA88" i="23"/>
  <c r="AQ88" i="23"/>
  <c r="AO88" i="23"/>
  <c r="AK88" i="23"/>
  <c r="AX96" i="23"/>
  <c r="AP96" i="23"/>
  <c r="AW96" i="23"/>
  <c r="AO96" i="23"/>
  <c r="BD96" i="23"/>
  <c r="AV96" i="23"/>
  <c r="AN96" i="23"/>
  <c r="BC96" i="23"/>
  <c r="AU96" i="23"/>
  <c r="AM96" i="23"/>
  <c r="BB96" i="23"/>
  <c r="AT96" i="23"/>
  <c r="AL96" i="23"/>
  <c r="BA96" i="23"/>
  <c r="AS96" i="23"/>
  <c r="AK96" i="23"/>
  <c r="AZ96" i="23"/>
  <c r="AY96" i="23"/>
  <c r="AR96" i="23"/>
  <c r="AI96" i="23"/>
  <c r="AQ96" i="23"/>
  <c r="AV59" i="23"/>
  <c r="AJ60" i="23"/>
  <c r="BD61" i="23"/>
  <c r="AR62" i="23"/>
  <c r="AZ64" i="23"/>
  <c r="AV67" i="23"/>
  <c r="AO68" i="23"/>
  <c r="BC70" i="23"/>
  <c r="AU76" i="23"/>
  <c r="BB74" i="23"/>
  <c r="AT74" i="23"/>
  <c r="AL74" i="23"/>
  <c r="BA74" i="23"/>
  <c r="AS74" i="23"/>
  <c r="AK74" i="23"/>
  <c r="AZ74" i="23"/>
  <c r="AR74" i="23"/>
  <c r="AJ74" i="23"/>
  <c r="AY74" i="23"/>
  <c r="AQ74" i="23"/>
  <c r="AI74" i="23"/>
  <c r="R74" i="23"/>
  <c r="AX74" i="23"/>
  <c r="AP74" i="23"/>
  <c r="BD74" i="23"/>
  <c r="AV74" i="23"/>
  <c r="AN74" i="23"/>
  <c r="BC74" i="23"/>
  <c r="AW74" i="23"/>
  <c r="P74" i="23"/>
  <c r="AU74" i="23"/>
  <c r="BC57" i="23"/>
  <c r="AU57" i="23"/>
  <c r="AM57" i="23"/>
  <c r="BB57" i="23"/>
  <c r="AT57" i="23"/>
  <c r="AL57" i="23"/>
  <c r="BA57" i="23"/>
  <c r="AS57" i="23"/>
  <c r="AK57" i="23"/>
  <c r="AZ57" i="23"/>
  <c r="AR57" i="23"/>
  <c r="AJ57" i="23"/>
  <c r="AY57" i="23"/>
  <c r="AQ57" i="23"/>
  <c r="AI57" i="23"/>
  <c r="AX57" i="23"/>
  <c r="AP57" i="23"/>
  <c r="BC65" i="23"/>
  <c r="AU65" i="23"/>
  <c r="AM65" i="23"/>
  <c r="BB65" i="23"/>
  <c r="U8" i="25" s="1"/>
  <c r="AT65" i="23"/>
  <c r="AL65" i="23"/>
  <c r="BA65" i="23"/>
  <c r="AS65" i="23"/>
  <c r="AK65" i="23"/>
  <c r="AZ65" i="23"/>
  <c r="AR65" i="23"/>
  <c r="AJ65" i="23"/>
  <c r="AY65" i="23"/>
  <c r="AQ65" i="23"/>
  <c r="AI65" i="23"/>
  <c r="AX65" i="23"/>
  <c r="AP65" i="23"/>
  <c r="AX73" i="23"/>
  <c r="AP73" i="23"/>
  <c r="AW73" i="23"/>
  <c r="AO73" i="23"/>
  <c r="P73" i="23"/>
  <c r="BD73" i="23"/>
  <c r="AV73" i="23"/>
  <c r="AN73" i="23"/>
  <c r="BC73" i="23"/>
  <c r="AU73" i="23"/>
  <c r="AM73" i="23"/>
  <c r="BB73" i="23"/>
  <c r="AT73" i="23"/>
  <c r="AL73" i="23"/>
  <c r="AZ73" i="23"/>
  <c r="AR73" i="23"/>
  <c r="AJ73" i="23"/>
  <c r="AS73" i="23"/>
  <c r="AQ73" i="23"/>
  <c r="AK73" i="23"/>
  <c r="AI73" i="23"/>
  <c r="BD81" i="23"/>
  <c r="AV81" i="23"/>
  <c r="BC81" i="23"/>
  <c r="AU81" i="23"/>
  <c r="AM81" i="23"/>
  <c r="BB81" i="23"/>
  <c r="AT81" i="23"/>
  <c r="AL81" i="23"/>
  <c r="BA81" i="23"/>
  <c r="AS81" i="23"/>
  <c r="AK81" i="23"/>
  <c r="AZ81" i="23"/>
  <c r="AR81" i="23"/>
  <c r="AJ81" i="23"/>
  <c r="AP81" i="23"/>
  <c r="AO81" i="23"/>
  <c r="AN81" i="23"/>
  <c r="AI81" i="23"/>
  <c r="R81" i="23"/>
  <c r="AY81" i="23"/>
  <c r="AX81" i="23"/>
  <c r="AW81" i="23"/>
  <c r="AQ81" i="23"/>
  <c r="P81" i="23"/>
  <c r="BB89" i="23"/>
  <c r="AT89" i="23"/>
  <c r="AL89" i="23"/>
  <c r="AZ89" i="23"/>
  <c r="AR89" i="23"/>
  <c r="AJ89" i="23"/>
  <c r="AY89" i="23"/>
  <c r="AQ89" i="23"/>
  <c r="AI89" i="23"/>
  <c r="AX89" i="23"/>
  <c r="AP89" i="23"/>
  <c r="BD89" i="23"/>
  <c r="AN89" i="23"/>
  <c r="BC89" i="23"/>
  <c r="AM89" i="23"/>
  <c r="BA89" i="23"/>
  <c r="AK89" i="23"/>
  <c r="AW89" i="23"/>
  <c r="AV89" i="23"/>
  <c r="AU89" i="23"/>
  <c r="AS89" i="23"/>
  <c r="AO89" i="23"/>
  <c r="BB97" i="23"/>
  <c r="AT97" i="23"/>
  <c r="AL97" i="23"/>
  <c r="BA97" i="23"/>
  <c r="AS97" i="23"/>
  <c r="AK97" i="23"/>
  <c r="AZ97" i="23"/>
  <c r="AR97" i="23"/>
  <c r="AJ97" i="23"/>
  <c r="AY97" i="23"/>
  <c r="AQ97" i="23"/>
  <c r="AI97" i="23"/>
  <c r="AX97" i="23"/>
  <c r="AP97" i="23"/>
  <c r="AW97" i="23"/>
  <c r="AO97" i="23"/>
  <c r="AV97" i="23"/>
  <c r="AU97" i="23"/>
  <c r="AN97" i="23"/>
  <c r="AM97" i="23"/>
  <c r="BD97" i="23"/>
  <c r="BC97" i="23"/>
  <c r="AO57" i="23"/>
  <c r="AW59" i="23"/>
  <c r="AK60" i="23"/>
  <c r="AS62" i="23"/>
  <c r="BA64" i="23"/>
  <c r="AO65" i="23"/>
  <c r="AW67" i="23"/>
  <c r="AQ68" i="23"/>
  <c r="BA73" i="23"/>
  <c r="AW76" i="23"/>
  <c r="AP83" i="23"/>
  <c r="AH53" i="24"/>
  <c r="Z53" i="24"/>
  <c r="AG53" i="24"/>
  <c r="Y53" i="24"/>
  <c r="AF53" i="24"/>
  <c r="X53" i="24"/>
  <c r="AE53" i="24"/>
  <c r="AD53" i="24"/>
  <c r="AC53" i="24"/>
  <c r="AB53" i="24"/>
  <c r="AA53" i="24"/>
  <c r="AH61" i="24"/>
  <c r="Z61" i="24"/>
  <c r="AG61" i="24"/>
  <c r="Y61" i="24"/>
  <c r="AF61" i="24"/>
  <c r="X61" i="24"/>
  <c r="AE61" i="24"/>
  <c r="AD61" i="24"/>
  <c r="AC61" i="24"/>
  <c r="AB61" i="24"/>
  <c r="AA61" i="24"/>
  <c r="AA69" i="24"/>
  <c r="AH69" i="24"/>
  <c r="Z69" i="24"/>
  <c r="AG69" i="24"/>
  <c r="Y69" i="24"/>
  <c r="AD69" i="24"/>
  <c r="X69" i="24"/>
  <c r="AF69" i="24"/>
  <c r="AE69" i="24"/>
  <c r="AC69" i="24"/>
  <c r="AB69" i="24"/>
  <c r="AA77" i="24"/>
  <c r="AH77" i="24"/>
  <c r="Z77" i="24"/>
  <c r="AG77" i="24"/>
  <c r="Y77" i="24"/>
  <c r="AF77" i="24"/>
  <c r="X77" i="24"/>
  <c r="AE77" i="24"/>
  <c r="AD77" i="24"/>
  <c r="AC77" i="24"/>
  <c r="AB77" i="24"/>
  <c r="AC70" i="24"/>
  <c r="AB70" i="24"/>
  <c r="AA70" i="24"/>
  <c r="AF70" i="24"/>
  <c r="X70" i="24"/>
  <c r="AD78" i="24"/>
  <c r="AC78" i="24"/>
  <c r="AB78" i="24"/>
  <c r="AA78" i="24"/>
  <c r="AH78" i="24"/>
  <c r="Z78" i="24"/>
  <c r="AG78" i="24"/>
  <c r="Y78" i="24"/>
  <c r="AF78" i="24"/>
  <c r="X78" i="24"/>
  <c r="X47" i="24"/>
  <c r="AF47" i="24"/>
  <c r="Z48" i="24"/>
  <c r="AH48" i="24"/>
  <c r="AB49" i="24"/>
  <c r="AD50" i="24"/>
  <c r="X51" i="24"/>
  <c r="AF51" i="24"/>
  <c r="Z52" i="24"/>
  <c r="AH52" i="24"/>
  <c r="AD54" i="24"/>
  <c r="X55" i="24"/>
  <c r="AF55" i="24"/>
  <c r="Z56" i="24"/>
  <c r="AH56" i="24"/>
  <c r="AB57" i="24"/>
  <c r="AD58" i="24"/>
  <c r="X59" i="24"/>
  <c r="AF59" i="24"/>
  <c r="Z60" i="24"/>
  <c r="AH60" i="24"/>
  <c r="AD62" i="24"/>
  <c r="X63" i="24"/>
  <c r="AF63" i="24"/>
  <c r="Z64" i="24"/>
  <c r="AH64" i="24"/>
  <c r="AB65" i="24"/>
  <c r="AD66" i="24"/>
  <c r="X67" i="24"/>
  <c r="AF67" i="24"/>
  <c r="Z68" i="24"/>
  <c r="AA72" i="24"/>
  <c r="AA76" i="24"/>
  <c r="Y83" i="24"/>
  <c r="AE71" i="24"/>
  <c r="AD71" i="24"/>
  <c r="AC71" i="24"/>
  <c r="AH71" i="24"/>
  <c r="Z71" i="24"/>
  <c r="AF79" i="24"/>
  <c r="X79" i="24"/>
  <c r="AE79" i="24"/>
  <c r="AD79" i="24"/>
  <c r="AC79" i="24"/>
  <c r="AB79" i="24"/>
  <c r="AA79" i="24"/>
  <c r="AH79" i="24"/>
  <c r="Z79" i="24"/>
  <c r="Y47" i="24"/>
  <c r="AG47" i="24"/>
  <c r="AA48" i="24"/>
  <c r="E8" i="26" s="1"/>
  <c r="AC49" i="24"/>
  <c r="AE50" i="24"/>
  <c r="Y51" i="24"/>
  <c r="AG51" i="24"/>
  <c r="AA52" i="24"/>
  <c r="AE54" i="24"/>
  <c r="Y55" i="24"/>
  <c r="AG55" i="24"/>
  <c r="AA56" i="24"/>
  <c r="AC57" i="24"/>
  <c r="AE58" i="24"/>
  <c r="Y59" i="24"/>
  <c r="AG59" i="24"/>
  <c r="AA60" i="24"/>
  <c r="AE62" i="24"/>
  <c r="Y63" i="24"/>
  <c r="AG63" i="24"/>
  <c r="AA64" i="24"/>
  <c r="AC65" i="24"/>
  <c r="AE66" i="24"/>
  <c r="Y67" i="24"/>
  <c r="AG67" i="24"/>
  <c r="AA68" i="24"/>
  <c r="Y70" i="24"/>
  <c r="X75" i="24"/>
  <c r="AH76" i="24"/>
  <c r="AG72" i="24"/>
  <c r="Y72" i="24"/>
  <c r="AF72" i="24"/>
  <c r="X72" i="24"/>
  <c r="AE72" i="24"/>
  <c r="AB72" i="24"/>
  <c r="AH80" i="24"/>
  <c r="Z80" i="24"/>
  <c r="AG80" i="24"/>
  <c r="Y80" i="24"/>
  <c r="AF80" i="24"/>
  <c r="X80" i="24"/>
  <c r="AE80" i="24"/>
  <c r="AD80" i="24"/>
  <c r="AC80" i="24"/>
  <c r="AB80" i="24"/>
  <c r="Z47" i="24"/>
  <c r="AH47" i="24"/>
  <c r="L8" i="26" s="1"/>
  <c r="AB48" i="24"/>
  <c r="AD49" i="24"/>
  <c r="X50" i="24"/>
  <c r="AF50" i="24"/>
  <c r="Z51" i="24"/>
  <c r="AH51" i="24"/>
  <c r="AB52" i="24"/>
  <c r="X54" i="24"/>
  <c r="AF54" i="24"/>
  <c r="Z55" i="24"/>
  <c r="AH55" i="24"/>
  <c r="AB56" i="24"/>
  <c r="AD57" i="24"/>
  <c r="X58" i="24"/>
  <c r="AF58" i="24"/>
  <c r="Z59" i="24"/>
  <c r="AH59" i="24"/>
  <c r="AB60" i="24"/>
  <c r="X62" i="24"/>
  <c r="AF62" i="24"/>
  <c r="Z63" i="24"/>
  <c r="AH63" i="24"/>
  <c r="AB64" i="24"/>
  <c r="AD65" i="24"/>
  <c r="X66" i="24"/>
  <c r="AF66" i="24"/>
  <c r="Z67" i="24"/>
  <c r="AH67" i="24"/>
  <c r="AC68" i="24"/>
  <c r="Z70" i="24"/>
  <c r="AD72" i="24"/>
  <c r="Y75" i="24"/>
  <c r="AA73" i="24"/>
  <c r="AH73" i="24"/>
  <c r="Z73" i="24"/>
  <c r="AG73" i="24"/>
  <c r="Y73" i="24"/>
  <c r="AD73" i="24"/>
  <c r="AB81" i="24"/>
  <c r="AA81" i="24"/>
  <c r="AH81" i="24"/>
  <c r="Z81" i="24"/>
  <c r="AG81" i="24"/>
  <c r="Y81" i="24"/>
  <c r="AF81" i="24"/>
  <c r="X81" i="24"/>
  <c r="AE81" i="24"/>
  <c r="AD81" i="24"/>
  <c r="AA47" i="24"/>
  <c r="AC48" i="24"/>
  <c r="AE49" i="24"/>
  <c r="Y50" i="24"/>
  <c r="AG50" i="24"/>
  <c r="AA51" i="24"/>
  <c r="AC52" i="24"/>
  <c r="Y54" i="24"/>
  <c r="AG54" i="24"/>
  <c r="AA55" i="24"/>
  <c r="AC56" i="24"/>
  <c r="AE57" i="24"/>
  <c r="Y58" i="24"/>
  <c r="AG58" i="24"/>
  <c r="AA59" i="24"/>
  <c r="AC60" i="24"/>
  <c r="Y62" i="24"/>
  <c r="AG62" i="24"/>
  <c r="AA63" i="24"/>
  <c r="AC64" i="24"/>
  <c r="AE65" i="24"/>
  <c r="Y66" i="24"/>
  <c r="AG66" i="24"/>
  <c r="AA67" i="24"/>
  <c r="AD68" i="24"/>
  <c r="AD70" i="24"/>
  <c r="X71" i="24"/>
  <c r="AH72" i="24"/>
  <c r="AB73" i="24"/>
  <c r="AF75" i="24"/>
  <c r="AE78" i="24"/>
  <c r="AC81" i="24"/>
  <c r="AC74" i="24"/>
  <c r="AB74" i="24"/>
  <c r="AA74" i="24"/>
  <c r="AH74" i="24"/>
  <c r="Z74" i="24"/>
  <c r="AG74" i="24"/>
  <c r="Y74" i="24"/>
  <c r="AF74" i="24"/>
  <c r="X74" i="24"/>
  <c r="AD82" i="24"/>
  <c r="AC82" i="24"/>
  <c r="AB82" i="24"/>
  <c r="AA82" i="24"/>
  <c r="AH82" i="24"/>
  <c r="Z82" i="24"/>
  <c r="AG82" i="24"/>
  <c r="Y82" i="24"/>
  <c r="AF82" i="24"/>
  <c r="X82" i="24"/>
  <c r="AB47" i="24"/>
  <c r="AD48" i="24"/>
  <c r="X49" i="24"/>
  <c r="AF49" i="24"/>
  <c r="Z50" i="24"/>
  <c r="AH50" i="24"/>
  <c r="AB51" i="24"/>
  <c r="AD52" i="24"/>
  <c r="Z54" i="24"/>
  <c r="AH54" i="24"/>
  <c r="AB55" i="24"/>
  <c r="AD56" i="24"/>
  <c r="X57" i="24"/>
  <c r="AF57" i="24"/>
  <c r="Z58" i="24"/>
  <c r="AH58" i="24"/>
  <c r="AB59" i="24"/>
  <c r="AD60" i="24"/>
  <c r="Z62" i="24"/>
  <c r="AH62" i="24"/>
  <c r="AB63" i="24"/>
  <c r="AD64" i="24"/>
  <c r="X65" i="24"/>
  <c r="AF65" i="24"/>
  <c r="Z66" i="24"/>
  <c r="AH66" i="24"/>
  <c r="AB67" i="24"/>
  <c r="AE68" i="24"/>
  <c r="AE70" i="24"/>
  <c r="Y71" i="24"/>
  <c r="AC73" i="24"/>
  <c r="AE75" i="24"/>
  <c r="AD75" i="24"/>
  <c r="AC75" i="24"/>
  <c r="AB75" i="24"/>
  <c r="AA75" i="24"/>
  <c r="AH75" i="24"/>
  <c r="Z75" i="24"/>
  <c r="AF83" i="24"/>
  <c r="X83" i="24"/>
  <c r="AE83" i="24"/>
  <c r="AD83" i="24"/>
  <c r="AC83" i="24"/>
  <c r="AB83" i="24"/>
  <c r="AA83" i="24"/>
  <c r="AH83" i="24"/>
  <c r="Z83" i="24"/>
  <c r="AC47" i="24"/>
  <c r="G8" i="26" s="1"/>
  <c r="AE48" i="24"/>
  <c r="Y49" i="24"/>
  <c r="AG49" i="24"/>
  <c r="AA50" i="24"/>
  <c r="AC51" i="24"/>
  <c r="AE52" i="24"/>
  <c r="AA54" i="24"/>
  <c r="AC55" i="24"/>
  <c r="AE56" i="24"/>
  <c r="Y57" i="24"/>
  <c r="AG57" i="24"/>
  <c r="AA58" i="24"/>
  <c r="AC59" i="24"/>
  <c r="AE60" i="24"/>
  <c r="AA62" i="24"/>
  <c r="AC63" i="24"/>
  <c r="AE64" i="24"/>
  <c r="Y65" i="24"/>
  <c r="AG65" i="24"/>
  <c r="AA66" i="24"/>
  <c r="AC67" i="24"/>
  <c r="AF68" i="24"/>
  <c r="AG70" i="24"/>
  <c r="AA71" i="24"/>
  <c r="AE73" i="24"/>
  <c r="AD74" i="24"/>
  <c r="Y79" i="24"/>
  <c r="AG76" i="24"/>
  <c r="Y76" i="24"/>
  <c r="AF76" i="24"/>
  <c r="X76" i="24"/>
  <c r="AE76" i="24"/>
  <c r="AD76" i="24"/>
  <c r="AC76" i="24"/>
  <c r="AB76" i="24"/>
  <c r="X48" i="24"/>
  <c r="Z49" i="24"/>
  <c r="X52" i="24"/>
  <c r="X56" i="24"/>
  <c r="Z57" i="24"/>
  <c r="X60" i="24"/>
  <c r="X64" i="24"/>
  <c r="Z65" i="24"/>
  <c r="X68" i="24"/>
  <c r="AG68" i="24"/>
  <c r="AH70" i="24"/>
  <c r="AB71" i="24"/>
  <c r="AF73" i="24"/>
  <c r="AE74" i="24"/>
  <c r="AG79" i="24"/>
  <c r="AE82" i="24"/>
  <c r="Q8" i="25"/>
  <c r="Z4" i="21"/>
  <c r="AH4" i="21" s="1"/>
  <c r="AJ13" i="21"/>
  <c r="Z3" i="21"/>
  <c r="AH3" i="21" s="1"/>
  <c r="Z6" i="21"/>
  <c r="AH6" i="21" s="1"/>
  <c r="Z5" i="21"/>
  <c r="AH5" i="21" s="1"/>
  <c r="Z13" i="21"/>
  <c r="AH13" i="21" s="1"/>
  <c r="Z8" i="21"/>
  <c r="AH8" i="21" s="1"/>
  <c r="AJ5" i="21"/>
  <c r="AJ4" i="21"/>
  <c r="M333" i="21"/>
  <c r="U12" i="21" s="1"/>
  <c r="AI12" i="21" s="1"/>
  <c r="R12" i="21"/>
  <c r="X12" i="21" s="1"/>
  <c r="AF12" i="21" s="1"/>
  <c r="R9" i="21"/>
  <c r="R10" i="21"/>
  <c r="U9" i="21"/>
  <c r="AI9" i="21" s="1"/>
  <c r="M190" i="21"/>
  <c r="U10" i="21" s="1"/>
  <c r="AI10" i="21" s="1"/>
  <c r="R11" i="21"/>
  <c r="X11" i="21" s="1"/>
  <c r="AF11" i="21" s="1"/>
  <c r="M248" i="21"/>
  <c r="U11" i="21" s="1"/>
  <c r="AI11" i="21" s="1"/>
  <c r="AI5" i="21"/>
  <c r="X5" i="21"/>
  <c r="AF5" i="21" s="1"/>
  <c r="AF6" i="21"/>
  <c r="X13" i="21"/>
  <c r="AF13" i="21" s="1"/>
  <c r="AI5" i="17"/>
  <c r="AO8" i="16"/>
  <c r="AO9" i="16" s="1"/>
  <c r="AC80" i="17"/>
  <c r="AC45" i="17"/>
  <c r="AC53" i="17"/>
  <c r="AC61" i="17"/>
  <c r="AC69" i="17"/>
  <c r="AC77" i="17"/>
  <c r="AC85" i="17"/>
  <c r="AC93" i="17"/>
  <c r="AC101" i="17"/>
  <c r="AC109" i="17"/>
  <c r="AC117" i="17"/>
  <c r="AC125" i="17"/>
  <c r="AC133" i="17"/>
  <c r="AC138" i="17"/>
  <c r="AC42" i="17"/>
  <c r="AC50" i="17"/>
  <c r="AC58" i="17"/>
  <c r="AC66" i="17"/>
  <c r="AC74" i="17"/>
  <c r="AC82" i="17"/>
  <c r="AC90" i="17"/>
  <c r="AC98" i="17"/>
  <c r="AC106" i="17"/>
  <c r="AC114" i="17"/>
  <c r="AC122" i="17"/>
  <c r="AC130" i="17"/>
  <c r="AC143" i="17"/>
  <c r="AC72" i="17"/>
  <c r="AC39" i="17"/>
  <c r="AI8" i="17" s="1"/>
  <c r="AC47" i="17"/>
  <c r="AC55" i="17"/>
  <c r="AC63" i="17"/>
  <c r="AC71" i="17"/>
  <c r="AC79" i="17"/>
  <c r="AC87" i="17"/>
  <c r="AI6" i="17" s="1"/>
  <c r="AC95" i="17"/>
  <c r="AC103" i="17"/>
  <c r="AC111" i="17"/>
  <c r="AC119" i="17"/>
  <c r="AC127" i="17"/>
  <c r="AC135" i="17"/>
  <c r="AC140" i="17"/>
  <c r="AC44" i="17"/>
  <c r="AC52" i="17"/>
  <c r="AC60" i="17"/>
  <c r="AC68" i="17"/>
  <c r="AC76" i="17"/>
  <c r="AC84" i="17"/>
  <c r="AC92" i="17"/>
  <c r="AI7" i="17" s="1"/>
  <c r="AC100" i="17"/>
  <c r="AC108" i="17"/>
  <c r="AC116" i="17"/>
  <c r="AC124" i="17"/>
  <c r="AC132" i="17"/>
  <c r="AC137" i="17"/>
  <c r="AC41" i="17"/>
  <c r="AC49" i="17"/>
  <c r="AC57" i="17"/>
  <c r="AC65" i="17"/>
  <c r="AC73" i="17"/>
  <c r="AC81" i="17"/>
  <c r="AC89" i="17"/>
  <c r="AC97" i="17"/>
  <c r="AC105" i="17"/>
  <c r="AC113" i="17"/>
  <c r="AC121" i="17"/>
  <c r="AC129" i="17"/>
  <c r="AC142" i="17"/>
  <c r="AC38" i="17"/>
  <c r="AC46" i="17"/>
  <c r="AC54" i="17"/>
  <c r="AC62" i="17"/>
  <c r="AC70" i="17"/>
  <c r="AC78" i="17"/>
  <c r="AC86" i="17"/>
  <c r="AC94" i="17"/>
  <c r="AC102" i="17"/>
  <c r="AC110" i="17"/>
  <c r="AC118" i="17"/>
  <c r="AC126" i="17"/>
  <c r="AC134" i="17"/>
  <c r="AC139" i="17"/>
  <c r="AC144" i="17"/>
  <c r="AC43" i="17"/>
  <c r="AC51" i="17"/>
  <c r="AC59" i="17"/>
  <c r="AC67" i="17"/>
  <c r="AC75" i="17"/>
  <c r="AC83" i="17"/>
  <c r="AC91" i="17"/>
  <c r="AC99" i="17"/>
  <c r="AC107" i="17"/>
  <c r="AC115" i="17"/>
  <c r="AC123" i="17"/>
  <c r="AC131" i="17"/>
  <c r="AC136" i="17"/>
  <c r="AJ8" i="16"/>
  <c r="AT7" i="16"/>
  <c r="AT8" i="16"/>
  <c r="Y55" i="6"/>
  <c r="M38" i="6"/>
  <c r="M14" i="6"/>
  <c r="AL54" i="9"/>
  <c r="AL54" i="8"/>
  <c r="AL54" i="7"/>
  <c r="AH54" i="9"/>
  <c r="AH54" i="8"/>
  <c r="AH54" i="7"/>
  <c r="AB54" i="8"/>
  <c r="AB54" i="9"/>
  <c r="AB54" i="7"/>
  <c r="W54" i="8"/>
  <c r="W58" i="8" s="1"/>
  <c r="W54" i="9"/>
  <c r="W54" i="7"/>
  <c r="AD54" i="9"/>
  <c r="AD54" i="8"/>
  <c r="AD54" i="7"/>
  <c r="AI54" i="8"/>
  <c r="AI58" i="8" s="1"/>
  <c r="AI54" i="9"/>
  <c r="AI54" i="7"/>
  <c r="AB56" i="9"/>
  <c r="AB56" i="7"/>
  <c r="AB56" i="8"/>
  <c r="AB58" i="6"/>
  <c r="AG54" i="8"/>
  <c r="AG54" i="9"/>
  <c r="AG54" i="7"/>
  <c r="AJ54" i="8"/>
  <c r="AJ58" i="8" s="1"/>
  <c r="AJ54" i="9"/>
  <c r="AJ54" i="7"/>
  <c r="AB55" i="9"/>
  <c r="AB55" i="8"/>
  <c r="AB55" i="7"/>
  <c r="E28" i="5"/>
  <c r="AA45" i="12"/>
  <c r="AA45" i="13"/>
  <c r="AA45" i="11"/>
  <c r="AA45" i="10"/>
  <c r="U46" i="13"/>
  <c r="U46" i="12"/>
  <c r="U46" i="11"/>
  <c r="U46" i="10"/>
  <c r="V58" i="6"/>
  <c r="F28" i="5"/>
  <c r="M13" i="6"/>
  <c r="M25" i="6"/>
  <c r="M54" i="8"/>
  <c r="M58" i="8" s="1"/>
  <c r="M54" i="9"/>
  <c r="M54" i="7"/>
  <c r="S54" i="8"/>
  <c r="S54" i="9"/>
  <c r="S54" i="7"/>
  <c r="AC54" i="8"/>
  <c r="AC58" i="8" s="1"/>
  <c r="AC54" i="9"/>
  <c r="AC54" i="7"/>
  <c r="AF54" i="8"/>
  <c r="AF54" i="9"/>
  <c r="AF54" i="7"/>
  <c r="AA46" i="12"/>
  <c r="AA46" i="13"/>
  <c r="AA46" i="11"/>
  <c r="AA46" i="10"/>
  <c r="R44" i="13"/>
  <c r="R44" i="12"/>
  <c r="R44" i="10"/>
  <c r="R44" i="11"/>
  <c r="AJ56" i="9"/>
  <c r="AJ56" i="8"/>
  <c r="AJ56" i="7"/>
  <c r="Q54" i="8"/>
  <c r="Q58" i="8" s="1"/>
  <c r="Q54" i="9"/>
  <c r="Q54" i="7"/>
  <c r="AG56" i="7"/>
  <c r="AJ55" i="9"/>
  <c r="AJ55" i="8"/>
  <c r="AJ55" i="7"/>
  <c r="AI58" i="6"/>
  <c r="AA44" i="12"/>
  <c r="AA44" i="13"/>
  <c r="AA44" i="11"/>
  <c r="AA44" i="10"/>
  <c r="AA56" i="9"/>
  <c r="AA56" i="8"/>
  <c r="AI56" i="9"/>
  <c r="AI56" i="8"/>
  <c r="AE54" i="8"/>
  <c r="AE54" i="9"/>
  <c r="AE54" i="7"/>
  <c r="W45" i="13"/>
  <c r="W45" i="12"/>
  <c r="W45" i="10"/>
  <c r="W45" i="11"/>
  <c r="Z44" i="13"/>
  <c r="Z44" i="12"/>
  <c r="Z48" i="12" s="1"/>
  <c r="Z44" i="10"/>
  <c r="Z44" i="11"/>
  <c r="Z48" i="11" s="1"/>
  <c r="AD56" i="9"/>
  <c r="AD56" i="8"/>
  <c r="AD56" i="7"/>
  <c r="F41" i="5"/>
  <c r="U56" i="9"/>
  <c r="U56" i="8"/>
  <c r="AH56" i="9"/>
  <c r="AH56" i="8"/>
  <c r="AH56" i="7"/>
  <c r="Z45" i="12"/>
  <c r="Z45" i="13"/>
  <c r="Z45" i="10"/>
  <c r="Z45" i="11"/>
  <c r="O54" i="8"/>
  <c r="O58" i="8" s="1"/>
  <c r="O54" i="9"/>
  <c r="O54" i="7"/>
  <c r="U54" i="8"/>
  <c r="U58" i="8" s="1"/>
  <c r="U54" i="9"/>
  <c r="U54" i="7"/>
  <c r="X54" i="8"/>
  <c r="X58" i="8" s="1"/>
  <c r="X54" i="9"/>
  <c r="X54" i="7"/>
  <c r="P54" i="8"/>
  <c r="P58" i="8" s="1"/>
  <c r="P54" i="9"/>
  <c r="P54" i="7"/>
  <c r="W44" i="13"/>
  <c r="W44" i="12"/>
  <c r="W44" i="10"/>
  <c r="W44" i="11"/>
  <c r="AD55" i="9"/>
  <c r="AD55" i="7"/>
  <c r="AD55" i="8"/>
  <c r="AH55" i="9"/>
  <c r="AH55" i="8"/>
  <c r="Y44" i="13"/>
  <c r="Y44" i="12"/>
  <c r="Y44" i="10"/>
  <c r="Y44" i="11"/>
  <c r="V56" i="9"/>
  <c r="V56" i="8"/>
  <c r="Z46" i="12"/>
  <c r="Z46" i="13"/>
  <c r="Z46" i="11"/>
  <c r="Z46" i="10"/>
  <c r="R55" i="6"/>
  <c r="R60" i="6" s="1"/>
  <c r="R39" i="7" s="1"/>
  <c r="AA58" i="6"/>
  <c r="AD57" i="6"/>
  <c r="AJ57" i="6"/>
  <c r="Z54" i="9"/>
  <c r="Z54" i="8"/>
  <c r="Z58" i="8" s="1"/>
  <c r="Z20" i="9" s="1"/>
  <c r="Z54" i="7"/>
  <c r="AK54" i="8"/>
  <c r="AK58" i="8" s="1"/>
  <c r="AK54" i="9"/>
  <c r="AK54" i="7"/>
  <c r="AG56" i="9"/>
  <c r="AG56" i="8"/>
  <c r="Y46" i="12"/>
  <c r="Y46" i="13"/>
  <c r="Y46" i="10"/>
  <c r="Y46" i="11"/>
  <c r="Z56" i="9"/>
  <c r="Z56" i="7"/>
  <c r="Z56" i="8"/>
  <c r="AI55" i="9"/>
  <c r="AI55" i="8"/>
  <c r="AI55" i="7"/>
  <c r="L54" i="8"/>
  <c r="L58" i="8" s="1"/>
  <c r="L54" i="9"/>
  <c r="L54" i="7"/>
  <c r="R54" i="9"/>
  <c r="R54" i="8"/>
  <c r="R58" i="8" s="1"/>
  <c r="R54" i="7"/>
  <c r="U58" i="6"/>
  <c r="AD58" i="6"/>
  <c r="AJ58" i="6"/>
  <c r="AA54" i="8"/>
  <c r="AA58" i="8" s="1"/>
  <c r="AA44" i="9" s="1"/>
  <c r="AA54" i="9"/>
  <c r="AA54" i="7"/>
  <c r="AH55" i="7"/>
  <c r="AA56" i="7"/>
  <c r="M47" i="10"/>
  <c r="M47" i="11" s="1"/>
  <c r="X43" i="11"/>
  <c r="Y43" i="11"/>
  <c r="L43" i="10"/>
  <c r="P43" i="10"/>
  <c r="S43" i="10"/>
  <c r="V43" i="10"/>
  <c r="Y43" i="10"/>
  <c r="P47" i="10"/>
  <c r="P47" i="11" s="1"/>
  <c r="V47" i="10"/>
  <c r="V47" i="12" s="1"/>
  <c r="O43" i="10"/>
  <c r="R43" i="10"/>
  <c r="R48" i="10" s="1"/>
  <c r="U43" i="10"/>
  <c r="X43" i="10"/>
  <c r="X48" i="10" s="1"/>
  <c r="AA43" i="10"/>
  <c r="O47" i="10"/>
  <c r="U47" i="10"/>
  <c r="X47" i="10"/>
  <c r="N43" i="10"/>
  <c r="T43" i="10"/>
  <c r="Z43" i="10"/>
  <c r="N47" i="10"/>
  <c r="T47" i="10"/>
  <c r="T47" i="12" s="1"/>
  <c r="Z47" i="10"/>
  <c r="Z47" i="12" s="1"/>
  <c r="M43" i="10"/>
  <c r="Q43" i="10"/>
  <c r="W43" i="10"/>
  <c r="AA51" i="9"/>
  <c r="AA28" i="9"/>
  <c r="AA37" i="9"/>
  <c r="AA16" i="9"/>
  <c r="AA23" i="9"/>
  <c r="Z8" i="9"/>
  <c r="Z7" i="9"/>
  <c r="Z35" i="9"/>
  <c r="Z44" i="9"/>
  <c r="Z45" i="9"/>
  <c r="Z30" i="9"/>
  <c r="Z28" i="9"/>
  <c r="Z31" i="9"/>
  <c r="Z10" i="9"/>
  <c r="Z5" i="9"/>
  <c r="Z53" i="7"/>
  <c r="Z58" i="7" s="1"/>
  <c r="M66" i="6"/>
  <c r="AG53" i="7"/>
  <c r="M68" i="6"/>
  <c r="AF53" i="7"/>
  <c r="AE53" i="7"/>
  <c r="AA53" i="7"/>
  <c r="AA58" i="7" s="1"/>
  <c r="M67" i="6"/>
  <c r="M22" i="6"/>
  <c r="O55" i="6"/>
  <c r="O60" i="6" s="1"/>
  <c r="O50" i="7" s="1"/>
  <c r="M50" i="6"/>
  <c r="M27" i="6"/>
  <c r="M31" i="6"/>
  <c r="M35" i="6"/>
  <c r="M39" i="6"/>
  <c r="M43" i="6"/>
  <c r="M47" i="6"/>
  <c r="M51" i="6"/>
  <c r="L55" i="6"/>
  <c r="L60" i="6" s="1"/>
  <c r="V55" i="6"/>
  <c r="AF55" i="6"/>
  <c r="AF60" i="6" s="1"/>
  <c r="AH55" i="6"/>
  <c r="AH60" i="6" s="1"/>
  <c r="AH32" i="7" s="1"/>
  <c r="M26" i="6"/>
  <c r="M46" i="6"/>
  <c r="M7" i="6"/>
  <c r="M17" i="6"/>
  <c r="M23" i="6"/>
  <c r="Q55" i="6"/>
  <c r="Q60" i="6" s="1"/>
  <c r="X55" i="6"/>
  <c r="X60" i="6" s="1"/>
  <c r="M34" i="6"/>
  <c r="M8" i="6"/>
  <c r="M18" i="6"/>
  <c r="M28" i="6"/>
  <c r="M32" i="6"/>
  <c r="M36" i="6"/>
  <c r="M40" i="6"/>
  <c r="M44" i="6"/>
  <c r="M48" i="6"/>
  <c r="Z55" i="6"/>
  <c r="M11" i="6"/>
  <c r="M19" i="6"/>
  <c r="M24" i="6"/>
  <c r="S55" i="6"/>
  <c r="S60" i="6" s="1"/>
  <c r="S24" i="7" s="1"/>
  <c r="U55" i="6"/>
  <c r="U60" i="6" s="1"/>
  <c r="AC55" i="6"/>
  <c r="AC60" i="6" s="1"/>
  <c r="AE55" i="6"/>
  <c r="AE60" i="6" s="1"/>
  <c r="M30" i="6"/>
  <c r="M42" i="6"/>
  <c r="M12" i="6"/>
  <c r="M20" i="6"/>
  <c r="M29" i="6"/>
  <c r="M33" i="6"/>
  <c r="M37" i="6"/>
  <c r="M41" i="6"/>
  <c r="M45" i="6"/>
  <c r="M49" i="6"/>
  <c r="P55" i="6"/>
  <c r="P60" i="6" s="1"/>
  <c r="P48" i="7" s="1"/>
  <c r="W55" i="6"/>
  <c r="W60" i="6" s="1"/>
  <c r="M21" i="6"/>
  <c r="AA55" i="6"/>
  <c r="D37" i="5"/>
  <c r="Z19" i="9" l="1"/>
  <c r="Z46" i="9"/>
  <c r="Z47" i="9"/>
  <c r="AA21" i="9"/>
  <c r="AA45" i="9"/>
  <c r="X9" i="21"/>
  <c r="AF9" i="21" s="1"/>
  <c r="F8" i="26"/>
  <c r="O6" i="25"/>
  <c r="P8" i="25"/>
  <c r="AC72" i="24"/>
  <c r="Z72" i="24"/>
  <c r="AF56" i="24"/>
  <c r="AG56" i="24"/>
  <c r="Y56" i="24"/>
  <c r="AD51" i="24"/>
  <c r="AE51" i="24"/>
  <c r="I6" i="26" s="1"/>
  <c r="AD47" i="24"/>
  <c r="H10" i="26" s="1"/>
  <c r="AE47" i="24"/>
  <c r="I8" i="26" s="1"/>
  <c r="AD63" i="24"/>
  <c r="AE63" i="24"/>
  <c r="Z27" i="9"/>
  <c r="Z50" i="9"/>
  <c r="Z51" i="9"/>
  <c r="AA17" i="9"/>
  <c r="AA49" i="9"/>
  <c r="AI55" i="6"/>
  <c r="AI60" i="6" s="1"/>
  <c r="AI38" i="7" s="1"/>
  <c r="AI38" i="9" s="1"/>
  <c r="AG71" i="24"/>
  <c r="AF71" i="24"/>
  <c r="AH49" i="24"/>
  <c r="AA49" i="24"/>
  <c r="B8" i="25"/>
  <c r="AB68" i="24"/>
  <c r="AH68" i="24"/>
  <c r="L6" i="26" s="1"/>
  <c r="Y68" i="24"/>
  <c r="AF52" i="24"/>
  <c r="AG52" i="24"/>
  <c r="Y52" i="24"/>
  <c r="AH57" i="24"/>
  <c r="AA57" i="24"/>
  <c r="E6" i="26" s="1"/>
  <c r="Z21" i="9"/>
  <c r="Z49" i="9"/>
  <c r="Z22" i="9"/>
  <c r="AA26" i="9"/>
  <c r="I8" i="25"/>
  <c r="H8" i="25"/>
  <c r="AB58" i="24"/>
  <c r="F6" i="26" s="1"/>
  <c r="AC58" i="24"/>
  <c r="AS60" i="23"/>
  <c r="L8" i="25" s="1"/>
  <c r="AR60" i="23"/>
  <c r="BD63" i="23"/>
  <c r="AN63" i="23"/>
  <c r="AB43" i="10"/>
  <c r="AH65" i="24"/>
  <c r="AA65" i="24"/>
  <c r="Z13" i="9"/>
  <c r="Z25" i="9"/>
  <c r="Z32" i="9"/>
  <c r="Z12" i="9"/>
  <c r="AA38" i="9"/>
  <c r="H8" i="26"/>
  <c r="M8" i="25"/>
  <c r="N8" i="25"/>
  <c r="AN57" i="23"/>
  <c r="G6" i="25" s="1"/>
  <c r="AV57" i="23"/>
  <c r="AF64" i="24"/>
  <c r="AG64" i="24"/>
  <c r="Y64" i="24"/>
  <c r="AF48" i="24"/>
  <c r="AG48" i="24"/>
  <c r="Y48" i="24"/>
  <c r="C8" i="26" s="1"/>
  <c r="AB54" i="24"/>
  <c r="AC54" i="24"/>
  <c r="G6" i="26" s="1"/>
  <c r="I10" i="26"/>
  <c r="AN65" i="23"/>
  <c r="AV65" i="23"/>
  <c r="AB62" i="24"/>
  <c r="AC62" i="24"/>
  <c r="K8" i="26"/>
  <c r="AW77" i="23"/>
  <c r="AQ77" i="23"/>
  <c r="J6" i="25" s="1"/>
  <c r="AF60" i="24"/>
  <c r="AG60" i="24"/>
  <c r="Y60" i="24"/>
  <c r="AS71" i="23"/>
  <c r="AQ71" i="23"/>
  <c r="AD67" i="24"/>
  <c r="AE67" i="24"/>
  <c r="Z6" i="9"/>
  <c r="Z34" i="9"/>
  <c r="Z43" i="9"/>
  <c r="AA19" i="9"/>
  <c r="AA46" i="9"/>
  <c r="B8" i="26"/>
  <c r="D8" i="25"/>
  <c r="AB66" i="24"/>
  <c r="AC66" i="24"/>
  <c r="AB50" i="24"/>
  <c r="AC50" i="24"/>
  <c r="AD59" i="24"/>
  <c r="AE59" i="24"/>
  <c r="AD55" i="24"/>
  <c r="AE55" i="24"/>
  <c r="D4" i="5"/>
  <c r="E30" i="5" s="1"/>
  <c r="R39" i="9"/>
  <c r="AA8" i="9"/>
  <c r="AA31" i="9"/>
  <c r="AA39" i="9"/>
  <c r="AA14" i="9"/>
  <c r="AA22" i="9"/>
  <c r="AA42" i="9"/>
  <c r="AA6" i="9"/>
  <c r="AA33" i="9"/>
  <c r="AA43" i="9"/>
  <c r="AA5" i="9"/>
  <c r="AA25" i="9"/>
  <c r="AA24" i="9"/>
  <c r="AA47" i="9"/>
  <c r="AI39" i="7"/>
  <c r="Z16" i="9"/>
  <c r="Z26" i="9"/>
  <c r="Z38" i="9"/>
  <c r="Z36" i="9"/>
  <c r="AA9" i="9"/>
  <c r="AA11" i="9"/>
  <c r="AA30" i="9"/>
  <c r="AA36" i="9"/>
  <c r="AA50" i="9"/>
  <c r="Z24" i="9"/>
  <c r="Z17" i="9"/>
  <c r="Z42" i="9"/>
  <c r="Z40" i="9"/>
  <c r="Z18" i="9"/>
  <c r="AA15" i="9"/>
  <c r="AA18" i="9"/>
  <c r="AA40" i="9"/>
  <c r="AA20" i="9"/>
  <c r="AA41" i="9"/>
  <c r="Z15" i="9"/>
  <c r="Z29" i="9"/>
  <c r="Z41" i="9"/>
  <c r="Z39" i="9"/>
  <c r="Z14" i="9"/>
  <c r="AA12" i="9"/>
  <c r="AA10" i="9"/>
  <c r="AA34" i="9"/>
  <c r="AA32" i="9"/>
  <c r="AA48" i="9"/>
  <c r="AI48" i="7"/>
  <c r="Z9" i="9"/>
  <c r="Z23" i="9"/>
  <c r="Z33" i="9"/>
  <c r="Z37" i="9"/>
  <c r="Z48" i="9"/>
  <c r="Z11" i="9"/>
  <c r="AA13" i="9"/>
  <c r="AA7" i="9"/>
  <c r="AA27" i="9"/>
  <c r="AA29" i="9"/>
  <c r="AA35" i="9"/>
  <c r="J10" i="26"/>
  <c r="J6" i="26"/>
  <c r="E10" i="25"/>
  <c r="E6" i="25"/>
  <c r="R6" i="25"/>
  <c r="R10" i="25"/>
  <c r="L10" i="26"/>
  <c r="H10" i="25"/>
  <c r="H6" i="25"/>
  <c r="D10" i="25"/>
  <c r="D6" i="25"/>
  <c r="U10" i="25"/>
  <c r="U6" i="25"/>
  <c r="J10" i="25"/>
  <c r="W6" i="25"/>
  <c r="W10" i="25"/>
  <c r="W8" i="25"/>
  <c r="M10" i="25"/>
  <c r="M6" i="25"/>
  <c r="P10" i="25"/>
  <c r="P6" i="25"/>
  <c r="E8" i="25"/>
  <c r="D6" i="26"/>
  <c r="D10" i="26"/>
  <c r="D8" i="26"/>
  <c r="I10" i="25"/>
  <c r="I6" i="25"/>
  <c r="L6" i="25"/>
  <c r="G8" i="25"/>
  <c r="V6" i="25"/>
  <c r="V10" i="25"/>
  <c r="V8" i="25"/>
  <c r="G10" i="26"/>
  <c r="Q10" i="25"/>
  <c r="Q6" i="25"/>
  <c r="C6" i="25"/>
  <c r="C10" i="25"/>
  <c r="C8" i="25"/>
  <c r="T10" i="25"/>
  <c r="T6" i="25"/>
  <c r="O8" i="25"/>
  <c r="G10" i="25"/>
  <c r="B10" i="26"/>
  <c r="B6" i="26"/>
  <c r="R8" i="25"/>
  <c r="J8" i="26"/>
  <c r="K6" i="25"/>
  <c r="K10" i="25"/>
  <c r="K8" i="25"/>
  <c r="O10" i="25"/>
  <c r="S6" i="25"/>
  <c r="S10" i="25"/>
  <c r="S8" i="25"/>
  <c r="F6" i="25"/>
  <c r="F10" i="25"/>
  <c r="K6" i="26"/>
  <c r="K10" i="26"/>
  <c r="J8" i="25"/>
  <c r="F10" i="26"/>
  <c r="E10" i="26"/>
  <c r="B6" i="25"/>
  <c r="B10" i="25"/>
  <c r="N6" i="25"/>
  <c r="N10" i="25"/>
  <c r="X10" i="21"/>
  <c r="AF10" i="21" s="1"/>
  <c r="AT9" i="16"/>
  <c r="AJ9" i="16"/>
  <c r="R33" i="7"/>
  <c r="AI33" i="7"/>
  <c r="AI35" i="7"/>
  <c r="AI44" i="7"/>
  <c r="M48" i="10"/>
  <c r="M47" i="12"/>
  <c r="T47" i="11"/>
  <c r="O50" i="9"/>
  <c r="P48" i="9"/>
  <c r="AH20" i="7"/>
  <c r="AH17" i="7"/>
  <c r="AH10" i="7"/>
  <c r="AH6" i="7"/>
  <c r="AH19" i="7"/>
  <c r="AH16" i="7"/>
  <c r="AH13" i="7"/>
  <c r="AH25" i="7"/>
  <c r="AH15" i="7"/>
  <c r="AH12" i="7"/>
  <c r="AH5" i="7"/>
  <c r="AH18" i="7"/>
  <c r="AH8" i="7"/>
  <c r="AH11" i="7"/>
  <c r="AH7" i="7"/>
  <c r="AH14" i="7"/>
  <c r="AH9" i="7"/>
  <c r="AH43" i="7"/>
  <c r="AH21" i="7"/>
  <c r="AH33" i="7"/>
  <c r="AH26" i="7"/>
  <c r="AH51" i="7"/>
  <c r="AH49" i="7"/>
  <c r="AH30" i="7"/>
  <c r="AH34" i="7"/>
  <c r="AH28" i="7"/>
  <c r="AH24" i="7"/>
  <c r="AH29" i="7"/>
  <c r="AH38" i="7"/>
  <c r="AH42" i="7"/>
  <c r="AH36" i="7"/>
  <c r="AH37" i="7"/>
  <c r="AH46" i="7"/>
  <c r="AH23" i="7"/>
  <c r="AH50" i="7"/>
  <c r="AH44" i="7"/>
  <c r="AH45" i="7"/>
  <c r="AH22" i="7"/>
  <c r="AH31" i="7"/>
  <c r="AH40" i="7"/>
  <c r="AH27" i="7"/>
  <c r="AH39" i="7"/>
  <c r="AH48" i="7"/>
  <c r="AH47" i="7"/>
  <c r="AH41" i="7"/>
  <c r="AH35" i="7"/>
  <c r="AI39" i="9"/>
  <c r="R9" i="11"/>
  <c r="R15" i="11"/>
  <c r="R7" i="11"/>
  <c r="R5" i="11"/>
  <c r="R10" i="11"/>
  <c r="R8" i="11"/>
  <c r="R31" i="11"/>
  <c r="R11" i="11"/>
  <c r="R23" i="11"/>
  <c r="R6" i="11"/>
  <c r="R30" i="11"/>
  <c r="R37" i="11"/>
  <c r="R14" i="11"/>
  <c r="R18" i="11"/>
  <c r="R20" i="11"/>
  <c r="R12" i="11"/>
  <c r="R33" i="11"/>
  <c r="R26" i="11"/>
  <c r="R28" i="11"/>
  <c r="R16" i="11"/>
  <c r="R17" i="11"/>
  <c r="R19" i="11"/>
  <c r="R21" i="11"/>
  <c r="R41" i="11"/>
  <c r="R35" i="11"/>
  <c r="R38" i="11"/>
  <c r="R40" i="11"/>
  <c r="R39" i="11"/>
  <c r="R27" i="11"/>
  <c r="R13" i="11"/>
  <c r="R36" i="11"/>
  <c r="R22" i="11"/>
  <c r="R34" i="11"/>
  <c r="R24" i="11"/>
  <c r="R25" i="11"/>
  <c r="R29" i="11"/>
  <c r="E37" i="5"/>
  <c r="R45" i="12"/>
  <c r="R45" i="13"/>
  <c r="R45" i="10"/>
  <c r="R45" i="11"/>
  <c r="S44" i="12"/>
  <c r="S44" i="13"/>
  <c r="S44" i="11"/>
  <c r="S44" i="10"/>
  <c r="AC18" i="7"/>
  <c r="AC11" i="7"/>
  <c r="AC7" i="7"/>
  <c r="AC20" i="7"/>
  <c r="AC17" i="7"/>
  <c r="AC14" i="7"/>
  <c r="AC19" i="7"/>
  <c r="AC16" i="7"/>
  <c r="AC13" i="7"/>
  <c r="AC6" i="7"/>
  <c r="AC9" i="7"/>
  <c r="AC25" i="7"/>
  <c r="AC15" i="7"/>
  <c r="AC12" i="7"/>
  <c r="AC5" i="7"/>
  <c r="AC8" i="7"/>
  <c r="AC10" i="7"/>
  <c r="AC48" i="7"/>
  <c r="AC42" i="7"/>
  <c r="AC43" i="7"/>
  <c r="AC47" i="7"/>
  <c r="AC30" i="7"/>
  <c r="AC50" i="7"/>
  <c r="AC51" i="7"/>
  <c r="AC24" i="7"/>
  <c r="AC37" i="7"/>
  <c r="AC46" i="7"/>
  <c r="AC33" i="7"/>
  <c r="AC45" i="7"/>
  <c r="AC41" i="7"/>
  <c r="AC23" i="7"/>
  <c r="AC31" i="7"/>
  <c r="AC49" i="7"/>
  <c r="AC28" i="7"/>
  <c r="AC32" i="7"/>
  <c r="AC26" i="7"/>
  <c r="AC27" i="7"/>
  <c r="AC36" i="7"/>
  <c r="AC22" i="7"/>
  <c r="AC34" i="7"/>
  <c r="AC29" i="7"/>
  <c r="AC39" i="7"/>
  <c r="AC40" i="7"/>
  <c r="AC21" i="7"/>
  <c r="AC35" i="7"/>
  <c r="AC44" i="7"/>
  <c r="AC38" i="7"/>
  <c r="X51" i="7"/>
  <c r="X44" i="7"/>
  <c r="X41" i="7"/>
  <c r="X47" i="7"/>
  <c r="X43" i="7"/>
  <c r="X39" i="7"/>
  <c r="X50" i="7"/>
  <c r="X42" i="7"/>
  <c r="X23" i="7"/>
  <c r="X49" i="7"/>
  <c r="X32" i="7"/>
  <c r="X29" i="7"/>
  <c r="X26" i="7"/>
  <c r="X16" i="7"/>
  <c r="X13" i="7"/>
  <c r="X6" i="7"/>
  <c r="X48" i="7"/>
  <c r="X35" i="7"/>
  <c r="X19" i="7"/>
  <c r="X9" i="7"/>
  <c r="X46" i="7"/>
  <c r="X38" i="7"/>
  <c r="X28" i="7"/>
  <c r="X25" i="7"/>
  <c r="X22" i="7"/>
  <c r="X12" i="7"/>
  <c r="X5" i="7"/>
  <c r="X45" i="7"/>
  <c r="X40" i="7"/>
  <c r="X31" i="7"/>
  <c r="X15" i="7"/>
  <c r="X37" i="7"/>
  <c r="X34" i="7"/>
  <c r="X24" i="7"/>
  <c r="X21" i="7"/>
  <c r="X18" i="7"/>
  <c r="X27" i="7"/>
  <c r="X11" i="7"/>
  <c r="X7" i="7"/>
  <c r="X36" i="7"/>
  <c r="X33" i="7"/>
  <c r="X30" i="7"/>
  <c r="X20" i="7"/>
  <c r="X17" i="7"/>
  <c r="X14" i="7"/>
  <c r="X8" i="7"/>
  <c r="X10" i="7"/>
  <c r="U49" i="7"/>
  <c r="U46" i="7"/>
  <c r="U39" i="7"/>
  <c r="U48" i="7"/>
  <c r="U45" i="7"/>
  <c r="U42" i="7"/>
  <c r="U44" i="7"/>
  <c r="U41" i="7"/>
  <c r="U50" i="7"/>
  <c r="U40" i="7"/>
  <c r="U51" i="7"/>
  <c r="U43" i="7"/>
  <c r="U37" i="7"/>
  <c r="U34" i="7"/>
  <c r="U24" i="7"/>
  <c r="U21" i="7"/>
  <c r="U18" i="7"/>
  <c r="U27" i="7"/>
  <c r="U11" i="7"/>
  <c r="U7" i="7"/>
  <c r="U36" i="7"/>
  <c r="U33" i="7"/>
  <c r="U30" i="7"/>
  <c r="U20" i="7"/>
  <c r="U17" i="7"/>
  <c r="U14" i="7"/>
  <c r="U23" i="7"/>
  <c r="U10" i="7"/>
  <c r="U47" i="7"/>
  <c r="U32" i="7"/>
  <c r="U29" i="7"/>
  <c r="U26" i="7"/>
  <c r="U16" i="7"/>
  <c r="U35" i="7"/>
  <c r="U19" i="7"/>
  <c r="U9" i="7"/>
  <c r="U38" i="7"/>
  <c r="U28" i="7"/>
  <c r="U25" i="7"/>
  <c r="U22" i="7"/>
  <c r="U12" i="7"/>
  <c r="U5" i="7"/>
  <c r="U31" i="7"/>
  <c r="U15" i="7"/>
  <c r="U8" i="7"/>
  <c r="U13" i="7"/>
  <c r="U6" i="7"/>
  <c r="Q28" i="7"/>
  <c r="Q22" i="7"/>
  <c r="Q5" i="7"/>
  <c r="Q15" i="7"/>
  <c r="Q8" i="7"/>
  <c r="Q24" i="7"/>
  <c r="Q21" i="7"/>
  <c r="Q27" i="7"/>
  <c r="Q14" i="7"/>
  <c r="Q23" i="7"/>
  <c r="Q10" i="7"/>
  <c r="Q29" i="7"/>
  <c r="Q26" i="7"/>
  <c r="Q16" i="7"/>
  <c r="Q13" i="7"/>
  <c r="Q6" i="7"/>
  <c r="Q9" i="7"/>
  <c r="Q11" i="7"/>
  <c r="Q32" i="7"/>
  <c r="Q18" i="7"/>
  <c r="Q19" i="7"/>
  <c r="Q36" i="7"/>
  <c r="Q40" i="7"/>
  <c r="Q34" i="7"/>
  <c r="Q35" i="7"/>
  <c r="Q44" i="7"/>
  <c r="Q48" i="7"/>
  <c r="Q42" i="7"/>
  <c r="Q43" i="7"/>
  <c r="Q30" i="7"/>
  <c r="Q7" i="7"/>
  <c r="Q47" i="7"/>
  <c r="Q50" i="7"/>
  <c r="Q51" i="7"/>
  <c r="Q25" i="7"/>
  <c r="Q38" i="7"/>
  <c r="Q17" i="7"/>
  <c r="Q31" i="7"/>
  <c r="Q37" i="7"/>
  <c r="Q33" i="7"/>
  <c r="Q45" i="7"/>
  <c r="Q41" i="7"/>
  <c r="Q46" i="7"/>
  <c r="Q12" i="7"/>
  <c r="Q49" i="7"/>
  <c r="Q20" i="7"/>
  <c r="Z51" i="8"/>
  <c r="Y51" i="23" s="1"/>
  <c r="Y103" i="23" s="1"/>
  <c r="Z50" i="8"/>
  <c r="Y50" i="23" s="1"/>
  <c r="Y102" i="23" s="1"/>
  <c r="Z44" i="8"/>
  <c r="Y44" i="23" s="1"/>
  <c r="Y96" i="23" s="1"/>
  <c r="Z38" i="8"/>
  <c r="Z33" i="8"/>
  <c r="Y33" i="23" s="1"/>
  <c r="Y85" i="23" s="1"/>
  <c r="Z28" i="8"/>
  <c r="Y28" i="23" s="1"/>
  <c r="Y80" i="23" s="1"/>
  <c r="Z43" i="8"/>
  <c r="Y43" i="23" s="1"/>
  <c r="Y95" i="23" s="1"/>
  <c r="Z47" i="8"/>
  <c r="Y47" i="23" s="1"/>
  <c r="Y99" i="23" s="1"/>
  <c r="Z31" i="8"/>
  <c r="Y31" i="23" s="1"/>
  <c r="Y83" i="23" s="1"/>
  <c r="Z49" i="8"/>
  <c r="Y49" i="23" s="1"/>
  <c r="Y101" i="23" s="1"/>
  <c r="Z40" i="8"/>
  <c r="Z36" i="8"/>
  <c r="Y36" i="23" s="1"/>
  <c r="Y88" i="23" s="1"/>
  <c r="Z19" i="8"/>
  <c r="Y19" i="23" s="1"/>
  <c r="Y71" i="23" s="1"/>
  <c r="Z34" i="8"/>
  <c r="Y34" i="23" s="1"/>
  <c r="Y86" i="23" s="1"/>
  <c r="Z17" i="8"/>
  <c r="Z48" i="8"/>
  <c r="Y48" i="23" s="1"/>
  <c r="Y100" i="23" s="1"/>
  <c r="Z46" i="8"/>
  <c r="Y46" i="23" s="1"/>
  <c r="Y98" i="23" s="1"/>
  <c r="Z37" i="8"/>
  <c r="Z45" i="8"/>
  <c r="Y45" i="23" s="1"/>
  <c r="Y97" i="23" s="1"/>
  <c r="Z23" i="8"/>
  <c r="Y23" i="23" s="1"/>
  <c r="Y75" i="23" s="1"/>
  <c r="Z16" i="8"/>
  <c r="Y16" i="23" s="1"/>
  <c r="Y68" i="23" s="1"/>
  <c r="Z35" i="8"/>
  <c r="Y35" i="23" s="1"/>
  <c r="Y87" i="23" s="1"/>
  <c r="Z32" i="8"/>
  <c r="Y32" i="23" s="1"/>
  <c r="Y84" i="23" s="1"/>
  <c r="Z22" i="8"/>
  <c r="Y22" i="23" s="1"/>
  <c r="Y74" i="23" s="1"/>
  <c r="Z42" i="8"/>
  <c r="Y42" i="23" s="1"/>
  <c r="Y94" i="23" s="1"/>
  <c r="Z20" i="8"/>
  <c r="Y20" i="23" s="1"/>
  <c r="Y72" i="23" s="1"/>
  <c r="Z8" i="8"/>
  <c r="Y8" i="23" s="1"/>
  <c r="Y60" i="23" s="1"/>
  <c r="Z29" i="8"/>
  <c r="Z18" i="8"/>
  <c r="Y18" i="23" s="1"/>
  <c r="Y70" i="23" s="1"/>
  <c r="Z13" i="8"/>
  <c r="Y13" i="23" s="1"/>
  <c r="Y65" i="23" s="1"/>
  <c r="Z7" i="8"/>
  <c r="Y7" i="23" s="1"/>
  <c r="Y59" i="23" s="1"/>
  <c r="Z39" i="8"/>
  <c r="Y39" i="23" s="1"/>
  <c r="Y91" i="23" s="1"/>
  <c r="Z30" i="8"/>
  <c r="Y30" i="23" s="1"/>
  <c r="Y82" i="23" s="1"/>
  <c r="Z12" i="8"/>
  <c r="Y12" i="23" s="1"/>
  <c r="Y64" i="23" s="1"/>
  <c r="Z41" i="8"/>
  <c r="Y41" i="23" s="1"/>
  <c r="Y93" i="23" s="1"/>
  <c r="Z26" i="8"/>
  <c r="Y26" i="23" s="1"/>
  <c r="Y78" i="23" s="1"/>
  <c r="Z11" i="8"/>
  <c r="Z6" i="8"/>
  <c r="Y6" i="23" s="1"/>
  <c r="Y58" i="23" s="1"/>
  <c r="Z27" i="8"/>
  <c r="Y27" i="23" s="1"/>
  <c r="Y79" i="23" s="1"/>
  <c r="Z25" i="8"/>
  <c r="Y25" i="23" s="1"/>
  <c r="Y77" i="23" s="1"/>
  <c r="Z10" i="8"/>
  <c r="Y10" i="23" s="1"/>
  <c r="Y62" i="23" s="1"/>
  <c r="Z24" i="8"/>
  <c r="Y24" i="23" s="1"/>
  <c r="Y76" i="23" s="1"/>
  <c r="Z15" i="8"/>
  <c r="Y15" i="23" s="1"/>
  <c r="Y67" i="23" s="1"/>
  <c r="Z9" i="8"/>
  <c r="Y9" i="23" s="1"/>
  <c r="Y61" i="23" s="1"/>
  <c r="Z5" i="8"/>
  <c r="Y5" i="23" s="1"/>
  <c r="Y57" i="23" s="1"/>
  <c r="Z21" i="8"/>
  <c r="Y21" i="23" s="1"/>
  <c r="Y73" i="23" s="1"/>
  <c r="Z14" i="8"/>
  <c r="Y14" i="23" s="1"/>
  <c r="Y66" i="23" s="1"/>
  <c r="M33" i="11"/>
  <c r="M25" i="11"/>
  <c r="U47" i="12"/>
  <c r="U47" i="11"/>
  <c r="S18" i="7"/>
  <c r="S11" i="7"/>
  <c r="S7" i="7"/>
  <c r="S20" i="7"/>
  <c r="S17" i="7"/>
  <c r="S14" i="7"/>
  <c r="S16" i="7"/>
  <c r="S13" i="7"/>
  <c r="S6" i="7"/>
  <c r="S19" i="7"/>
  <c r="S9" i="7"/>
  <c r="S25" i="7"/>
  <c r="S12" i="7"/>
  <c r="S5" i="7"/>
  <c r="S8" i="7"/>
  <c r="S15" i="7"/>
  <c r="S10" i="7"/>
  <c r="S44" i="7"/>
  <c r="S38" i="7"/>
  <c r="S39" i="7"/>
  <c r="S48" i="7"/>
  <c r="S26" i="7"/>
  <c r="S46" i="7"/>
  <c r="S47" i="7"/>
  <c r="S33" i="7"/>
  <c r="S42" i="7"/>
  <c r="S29" i="7"/>
  <c r="S41" i="7"/>
  <c r="S50" i="7"/>
  <c r="S35" i="7"/>
  <c r="S37" i="7"/>
  <c r="S49" i="7"/>
  <c r="S45" i="7"/>
  <c r="S23" i="7"/>
  <c r="S27" i="7"/>
  <c r="S43" i="7"/>
  <c r="S28" i="7"/>
  <c r="S21" i="7"/>
  <c r="S22" i="7"/>
  <c r="S51" i="7"/>
  <c r="S32" i="7"/>
  <c r="S30" i="7"/>
  <c r="S34" i="7"/>
  <c r="S36" i="7"/>
  <c r="S31" i="7"/>
  <c r="S40" i="7"/>
  <c r="L27" i="7"/>
  <c r="L14" i="7"/>
  <c r="L23" i="7"/>
  <c r="L10" i="7"/>
  <c r="L29" i="7"/>
  <c r="L26" i="7"/>
  <c r="L16" i="7"/>
  <c r="L13" i="7"/>
  <c r="L6" i="7"/>
  <c r="L28" i="7"/>
  <c r="L22" i="7"/>
  <c r="L5" i="7"/>
  <c r="L15" i="7"/>
  <c r="L8" i="7"/>
  <c r="L24" i="7"/>
  <c r="L21" i="7"/>
  <c r="L9" i="7"/>
  <c r="L7" i="7"/>
  <c r="L50" i="7"/>
  <c r="L44" i="7"/>
  <c r="L45" i="7"/>
  <c r="L12" i="7"/>
  <c r="L49" i="7"/>
  <c r="L19" i="7"/>
  <c r="L41" i="7"/>
  <c r="L17" i="7"/>
  <c r="L39" i="7"/>
  <c r="L40" i="7"/>
  <c r="L35" i="7"/>
  <c r="L47" i="7"/>
  <c r="L48" i="7"/>
  <c r="L43" i="7"/>
  <c r="L18" i="7"/>
  <c r="L51" i="7"/>
  <c r="L33" i="7"/>
  <c r="L30" i="7"/>
  <c r="L34" i="7"/>
  <c r="L20" i="7"/>
  <c r="L25" i="7"/>
  <c r="L38" i="7"/>
  <c r="L42" i="7"/>
  <c r="L37" i="7"/>
  <c r="L46" i="7"/>
  <c r="L31" i="7"/>
  <c r="L32" i="7"/>
  <c r="L11" i="7"/>
  <c r="L36" i="7"/>
  <c r="AA50" i="8"/>
  <c r="Z50" i="23" s="1"/>
  <c r="Z102" i="23" s="1"/>
  <c r="AA49" i="8"/>
  <c r="Z49" i="23" s="1"/>
  <c r="Z101" i="23" s="1"/>
  <c r="AA43" i="8"/>
  <c r="Z43" i="23" s="1"/>
  <c r="Z95" i="23" s="1"/>
  <c r="AA42" i="8"/>
  <c r="Z42" i="23" s="1"/>
  <c r="Z94" i="23" s="1"/>
  <c r="AA51" i="8"/>
  <c r="Z51" i="23" s="1"/>
  <c r="Z103" i="23" s="1"/>
  <c r="AA48" i="8"/>
  <c r="Z48" i="23" s="1"/>
  <c r="Z100" i="23" s="1"/>
  <c r="AA46" i="8"/>
  <c r="Z46" i="23" s="1"/>
  <c r="Z98" i="23" s="1"/>
  <c r="AA41" i="8"/>
  <c r="AA36" i="8"/>
  <c r="Z36" i="23" s="1"/>
  <c r="Z88" i="23" s="1"/>
  <c r="AA30" i="8"/>
  <c r="Z30" i="23" s="1"/>
  <c r="Z82" i="23" s="1"/>
  <c r="AA45" i="8"/>
  <c r="Z45" i="23" s="1"/>
  <c r="Z97" i="23" s="1"/>
  <c r="AA40" i="8"/>
  <c r="Z40" i="23" s="1"/>
  <c r="Z92" i="23" s="1"/>
  <c r="AA39" i="8"/>
  <c r="Z39" i="23" s="1"/>
  <c r="Z91" i="23" s="1"/>
  <c r="AA25" i="8"/>
  <c r="Z25" i="23" s="1"/>
  <c r="Z77" i="23" s="1"/>
  <c r="AA18" i="8"/>
  <c r="Z18" i="23" s="1"/>
  <c r="Z70" i="23" s="1"/>
  <c r="AA47" i="8"/>
  <c r="AA37" i="8"/>
  <c r="Z37" i="23" s="1"/>
  <c r="Z89" i="23" s="1"/>
  <c r="AA24" i="8"/>
  <c r="Z24" i="23" s="1"/>
  <c r="Z76" i="23" s="1"/>
  <c r="AA35" i="8"/>
  <c r="Z35" i="23" s="1"/>
  <c r="Z87" i="23" s="1"/>
  <c r="AA32" i="8"/>
  <c r="Z32" i="23" s="1"/>
  <c r="Z84" i="23" s="1"/>
  <c r="AA22" i="8"/>
  <c r="AA44" i="8"/>
  <c r="Z44" i="23" s="1"/>
  <c r="Z96" i="23" s="1"/>
  <c r="AA29" i="8"/>
  <c r="Z29" i="23" s="1"/>
  <c r="Z81" i="23" s="1"/>
  <c r="AA28" i="8"/>
  <c r="Z28" i="23" s="1"/>
  <c r="Z80" i="23" s="1"/>
  <c r="AA27" i="8"/>
  <c r="Z27" i="23" s="1"/>
  <c r="Z79" i="23" s="1"/>
  <c r="AA21" i="8"/>
  <c r="Z21" i="23" s="1"/>
  <c r="Z73" i="23" s="1"/>
  <c r="AA34" i="8"/>
  <c r="Z34" i="23" s="1"/>
  <c r="Z86" i="23" s="1"/>
  <c r="AA19" i="8"/>
  <c r="Z19" i="23" s="1"/>
  <c r="Z71" i="23" s="1"/>
  <c r="AA13" i="8"/>
  <c r="Z13" i="23" s="1"/>
  <c r="Z65" i="23" s="1"/>
  <c r="AA17" i="8"/>
  <c r="Z17" i="23" s="1"/>
  <c r="Z69" i="23" s="1"/>
  <c r="AA7" i="8"/>
  <c r="Z7" i="23" s="1"/>
  <c r="Z59" i="23" s="1"/>
  <c r="AA16" i="8"/>
  <c r="Z16" i="23" s="1"/>
  <c r="Z68" i="23" s="1"/>
  <c r="AA12" i="8"/>
  <c r="Z12" i="23" s="1"/>
  <c r="Z64" i="23" s="1"/>
  <c r="AA26" i="8"/>
  <c r="Z26" i="23" s="1"/>
  <c r="Z78" i="23" s="1"/>
  <c r="AA11" i="8"/>
  <c r="Z11" i="23" s="1"/>
  <c r="Z63" i="23" s="1"/>
  <c r="AA6" i="8"/>
  <c r="Z6" i="23" s="1"/>
  <c r="Z58" i="23" s="1"/>
  <c r="AA10" i="8"/>
  <c r="Z10" i="23" s="1"/>
  <c r="Z62" i="23" s="1"/>
  <c r="AA5" i="8"/>
  <c r="Z5" i="23" s="1"/>
  <c r="Z57" i="23" s="1"/>
  <c r="AA33" i="8"/>
  <c r="Z33" i="23" s="1"/>
  <c r="Z85" i="23" s="1"/>
  <c r="AA15" i="8"/>
  <c r="Z15" i="23" s="1"/>
  <c r="Z67" i="23" s="1"/>
  <c r="AA38" i="8"/>
  <c r="Z38" i="23" s="1"/>
  <c r="Z90" i="23" s="1"/>
  <c r="AA23" i="8"/>
  <c r="Z23" i="23" s="1"/>
  <c r="Z75" i="23" s="1"/>
  <c r="AA14" i="8"/>
  <c r="Z14" i="23" s="1"/>
  <c r="Z66" i="23" s="1"/>
  <c r="AA9" i="8"/>
  <c r="AA31" i="8"/>
  <c r="Z31" i="23" s="1"/>
  <c r="Z83" i="23" s="1"/>
  <c r="AA20" i="8"/>
  <c r="Z20" i="23" s="1"/>
  <c r="Z72" i="23" s="1"/>
  <c r="AA8" i="8"/>
  <c r="Z8" i="23" s="1"/>
  <c r="Z60" i="23" s="1"/>
  <c r="O47" i="12"/>
  <c r="O47" i="11"/>
  <c r="R32" i="11"/>
  <c r="F37" i="5"/>
  <c r="R46" i="12"/>
  <c r="R48" i="12" s="1"/>
  <c r="R47" i="12" s="1"/>
  <c r="R46" i="13"/>
  <c r="R46" i="10"/>
  <c r="R46" i="11"/>
  <c r="W48" i="7"/>
  <c r="W45" i="7"/>
  <c r="W42" i="7"/>
  <c r="W51" i="7"/>
  <c r="W44" i="7"/>
  <c r="W41" i="7"/>
  <c r="W50" i="7"/>
  <c r="W40" i="7"/>
  <c r="W49" i="7"/>
  <c r="W46" i="7"/>
  <c r="W39" i="7"/>
  <c r="W36" i="7"/>
  <c r="W33" i="7"/>
  <c r="W30" i="7"/>
  <c r="W20" i="7"/>
  <c r="W17" i="7"/>
  <c r="W23" i="7"/>
  <c r="W10" i="7"/>
  <c r="W32" i="7"/>
  <c r="W29" i="7"/>
  <c r="W26" i="7"/>
  <c r="W16" i="7"/>
  <c r="W13" i="7"/>
  <c r="W6" i="7"/>
  <c r="W47" i="7"/>
  <c r="W35" i="7"/>
  <c r="W19" i="7"/>
  <c r="W9" i="7"/>
  <c r="W38" i="7"/>
  <c r="W28" i="7"/>
  <c r="W25" i="7"/>
  <c r="W22" i="7"/>
  <c r="W31" i="7"/>
  <c r="W15" i="7"/>
  <c r="W8" i="7"/>
  <c r="W37" i="7"/>
  <c r="W34" i="7"/>
  <c r="W24" i="7"/>
  <c r="W21" i="7"/>
  <c r="W18" i="7"/>
  <c r="W43" i="7"/>
  <c r="W27" i="7"/>
  <c r="W11" i="7"/>
  <c r="W7" i="7"/>
  <c r="W14" i="7"/>
  <c r="W12" i="7"/>
  <c r="W5" i="7"/>
  <c r="O16" i="7"/>
  <c r="O13" i="7"/>
  <c r="O6" i="7"/>
  <c r="O19" i="7"/>
  <c r="O9" i="7"/>
  <c r="O25" i="7"/>
  <c r="O12" i="7"/>
  <c r="O5" i="7"/>
  <c r="O15" i="7"/>
  <c r="O18" i="7"/>
  <c r="O11" i="7"/>
  <c r="O7" i="7"/>
  <c r="O20" i="7"/>
  <c r="O17" i="7"/>
  <c r="O14" i="7"/>
  <c r="O8" i="7"/>
  <c r="O10" i="7"/>
  <c r="O45" i="7"/>
  <c r="O23" i="7"/>
  <c r="O28" i="7"/>
  <c r="O21" i="7"/>
  <c r="O22" i="7"/>
  <c r="O32" i="7"/>
  <c r="O36" i="7"/>
  <c r="O30" i="7"/>
  <c r="O31" i="7"/>
  <c r="O40" i="7"/>
  <c r="O44" i="7"/>
  <c r="O38" i="7"/>
  <c r="O39" i="7"/>
  <c r="O27" i="7"/>
  <c r="O48" i="7"/>
  <c r="O35" i="7"/>
  <c r="O46" i="7"/>
  <c r="O47" i="7"/>
  <c r="O51" i="7"/>
  <c r="O24" i="7"/>
  <c r="O33" i="7"/>
  <c r="O34" i="7"/>
  <c r="O29" i="7"/>
  <c r="O43" i="7"/>
  <c r="O41" i="7"/>
  <c r="O42" i="7"/>
  <c r="O37" i="7"/>
  <c r="O49" i="7"/>
  <c r="O26" i="7"/>
  <c r="Q39" i="7"/>
  <c r="P29" i="7"/>
  <c r="P26" i="7"/>
  <c r="P16" i="7"/>
  <c r="P19" i="7"/>
  <c r="P9" i="7"/>
  <c r="P28" i="7"/>
  <c r="P25" i="7"/>
  <c r="P22" i="7"/>
  <c r="P12" i="7"/>
  <c r="P15" i="7"/>
  <c r="P8" i="7"/>
  <c r="P24" i="7"/>
  <c r="P21" i="7"/>
  <c r="P18" i="7"/>
  <c r="P27" i="7"/>
  <c r="P11" i="7"/>
  <c r="P7" i="7"/>
  <c r="P20" i="7"/>
  <c r="P17" i="7"/>
  <c r="P14" i="7"/>
  <c r="P23" i="7"/>
  <c r="P10" i="7"/>
  <c r="P13" i="7"/>
  <c r="P6" i="7"/>
  <c r="P5" i="7"/>
  <c r="P35" i="7"/>
  <c r="P36" i="7"/>
  <c r="P31" i="7"/>
  <c r="P37" i="7"/>
  <c r="P39" i="7"/>
  <c r="P51" i="7"/>
  <c r="P47" i="7"/>
  <c r="P45" i="7"/>
  <c r="P30" i="7"/>
  <c r="P34" i="7"/>
  <c r="P38" i="7"/>
  <c r="P32" i="7"/>
  <c r="P33" i="7"/>
  <c r="P42" i="7"/>
  <c r="P46" i="7"/>
  <c r="P40" i="7"/>
  <c r="P41" i="7"/>
  <c r="P50" i="7"/>
  <c r="P44" i="7"/>
  <c r="P49" i="7"/>
  <c r="P43" i="7"/>
  <c r="N47" i="12"/>
  <c r="N47" i="11"/>
  <c r="AI48" i="9"/>
  <c r="P47" i="12"/>
  <c r="V47" i="11"/>
  <c r="R28" i="7"/>
  <c r="R25" i="7"/>
  <c r="R22" i="7"/>
  <c r="R15" i="7"/>
  <c r="R8" i="7"/>
  <c r="R24" i="7"/>
  <c r="R21" i="7"/>
  <c r="R18" i="7"/>
  <c r="R27" i="7"/>
  <c r="R11" i="7"/>
  <c r="R7" i="7"/>
  <c r="R20" i="7"/>
  <c r="R17" i="7"/>
  <c r="R23" i="7"/>
  <c r="R10" i="7"/>
  <c r="R29" i="7"/>
  <c r="R26" i="7"/>
  <c r="R16" i="7"/>
  <c r="R13" i="7"/>
  <c r="R6" i="7"/>
  <c r="R19" i="7"/>
  <c r="R9" i="7"/>
  <c r="R14" i="7"/>
  <c r="R12" i="7"/>
  <c r="R5" i="7"/>
  <c r="R35" i="7"/>
  <c r="R49" i="7"/>
  <c r="R47" i="7"/>
  <c r="R43" i="7"/>
  <c r="R51" i="7"/>
  <c r="R30" i="7"/>
  <c r="R34" i="7"/>
  <c r="R38" i="7"/>
  <c r="R42" i="7"/>
  <c r="R36" i="7"/>
  <c r="R37" i="7"/>
  <c r="R46" i="7"/>
  <c r="R50" i="7"/>
  <c r="R44" i="7"/>
  <c r="R45" i="7"/>
  <c r="R41" i="7"/>
  <c r="R32" i="7"/>
  <c r="R31" i="7"/>
  <c r="R40" i="7"/>
  <c r="N48" i="10"/>
  <c r="O48" i="10"/>
  <c r="R48" i="7"/>
  <c r="AL56" i="9"/>
  <c r="AL56" i="8"/>
  <c r="AL56" i="7"/>
  <c r="AL58" i="6"/>
  <c r="AI40" i="7"/>
  <c r="Z47" i="11"/>
  <c r="AI31" i="7"/>
  <c r="AI30" i="7"/>
  <c r="AI27" i="7"/>
  <c r="AI36" i="7"/>
  <c r="AI32" i="7"/>
  <c r="AI22" i="7"/>
  <c r="AI21" i="7"/>
  <c r="AI28" i="7"/>
  <c r="AH58" i="8"/>
  <c r="AI23" i="7"/>
  <c r="AI45" i="7"/>
  <c r="AL55" i="9"/>
  <c r="AL55" i="8"/>
  <c r="AL55" i="7"/>
  <c r="AL57" i="6"/>
  <c r="AI49" i="7"/>
  <c r="AI51" i="7"/>
  <c r="AI37" i="7"/>
  <c r="AI50" i="7"/>
  <c r="AI41" i="7"/>
  <c r="W46" i="13"/>
  <c r="W46" i="12"/>
  <c r="W46" i="10"/>
  <c r="W46" i="11"/>
  <c r="AI43" i="7"/>
  <c r="R48" i="11"/>
  <c r="R47" i="11" s="1"/>
  <c r="AI20" i="7"/>
  <c r="AI17" i="7"/>
  <c r="AI10" i="7"/>
  <c r="AI6" i="7"/>
  <c r="AI19" i="7"/>
  <c r="AI16" i="7"/>
  <c r="AI13" i="7"/>
  <c r="AI9" i="7"/>
  <c r="AI25" i="7"/>
  <c r="AI15" i="7"/>
  <c r="AI18" i="7"/>
  <c r="AI8" i="7"/>
  <c r="AI11" i="7"/>
  <c r="AI14" i="7"/>
  <c r="AI7" i="7"/>
  <c r="AI12" i="7"/>
  <c r="AI5" i="7"/>
  <c r="AI34" i="7"/>
  <c r="AI24" i="7"/>
  <c r="AI47" i="7"/>
  <c r="AI46" i="7"/>
  <c r="V48" i="10"/>
  <c r="Z48" i="10"/>
  <c r="U48" i="10"/>
  <c r="T48" i="10"/>
  <c r="P48" i="10"/>
  <c r="M64" i="6"/>
  <c r="M70" i="6" s="1"/>
  <c r="Y56" i="6"/>
  <c r="V56" i="6"/>
  <c r="V60" i="6"/>
  <c r="M55" i="6"/>
  <c r="M60" i="6" s="1"/>
  <c r="M37" i="7" s="1"/>
  <c r="Z22" i="23" l="1"/>
  <c r="Z74" i="23" s="1"/>
  <c r="Y11" i="23"/>
  <c r="Y63" i="23" s="1"/>
  <c r="H6" i="26"/>
  <c r="Y29" i="23"/>
  <c r="Y81" i="23" s="1"/>
  <c r="Z53" i="9"/>
  <c r="Z9" i="23"/>
  <c r="Z61" i="23" s="1"/>
  <c r="Y40" i="23"/>
  <c r="Y92" i="23" s="1"/>
  <c r="L10" i="25"/>
  <c r="X10" i="25" s="1"/>
  <c r="C10" i="26"/>
  <c r="M10" i="26" s="1"/>
  <c r="Z47" i="23"/>
  <c r="Z99" i="23" s="1"/>
  <c r="C6" i="26"/>
  <c r="AI29" i="7"/>
  <c r="AI29" i="9" s="1"/>
  <c r="AI26" i="7"/>
  <c r="AI26" i="9" s="1"/>
  <c r="AI42" i="7"/>
  <c r="AI42" i="9" s="1"/>
  <c r="AA53" i="9"/>
  <c r="F4" i="5"/>
  <c r="E4" i="5"/>
  <c r="F30" i="5"/>
  <c r="Z41" i="23"/>
  <c r="Z93" i="23" s="1"/>
  <c r="Y17" i="23"/>
  <c r="Y69" i="23" s="1"/>
  <c r="P11" i="25"/>
  <c r="AH17" i="9"/>
  <c r="O11" i="25"/>
  <c r="Y38" i="23"/>
  <c r="Y90" i="23" s="1"/>
  <c r="M7" i="11"/>
  <c r="M35" i="11"/>
  <c r="M29" i="11"/>
  <c r="M21" i="11"/>
  <c r="M5" i="11"/>
  <c r="M38" i="11"/>
  <c r="M36" i="11"/>
  <c r="M14" i="11"/>
  <c r="M14" i="13" s="1"/>
  <c r="M15" i="11"/>
  <c r="M18" i="11"/>
  <c r="M16" i="11"/>
  <c r="M23" i="11"/>
  <c r="M8" i="11"/>
  <c r="M11" i="11"/>
  <c r="M20" i="11"/>
  <c r="M13" i="11"/>
  <c r="M13" i="12" s="1"/>
  <c r="M31" i="11"/>
  <c r="M6" i="11"/>
  <c r="M32" i="11"/>
  <c r="M40" i="11"/>
  <c r="M37" i="11"/>
  <c r="M28" i="11"/>
  <c r="M30" i="11"/>
  <c r="M9" i="11"/>
  <c r="M9" i="12" s="1"/>
  <c r="M39" i="11"/>
  <c r="M17" i="11"/>
  <c r="M24" i="11"/>
  <c r="M19" i="11"/>
  <c r="M10" i="11"/>
  <c r="M10" i="12" s="1"/>
  <c r="M41" i="11"/>
  <c r="M12" i="11"/>
  <c r="M12" i="12" s="1"/>
  <c r="M26" i="11"/>
  <c r="M26" i="12" s="1"/>
  <c r="M22" i="11"/>
  <c r="M22" i="12" s="1"/>
  <c r="M34" i="11"/>
  <c r="M27" i="11"/>
  <c r="AI44" i="9"/>
  <c r="Y37" i="23"/>
  <c r="Y89" i="23" s="1"/>
  <c r="AI35" i="9"/>
  <c r="AI33" i="9"/>
  <c r="P7" i="25"/>
  <c r="R33" i="9"/>
  <c r="M8" i="26"/>
  <c r="P9" i="25"/>
  <c r="O9" i="25"/>
  <c r="M6" i="26"/>
  <c r="X8" i="25"/>
  <c r="X6" i="25"/>
  <c r="M37" i="9"/>
  <c r="AI6" i="9"/>
  <c r="AI40" i="9"/>
  <c r="R40" i="9"/>
  <c r="R20" i="9"/>
  <c r="M43" i="7"/>
  <c r="M28" i="7"/>
  <c r="P53" i="7"/>
  <c r="P58" i="7" s="1"/>
  <c r="P48" i="8" s="1"/>
  <c r="P48" i="23" s="1"/>
  <c r="P100" i="23" s="1"/>
  <c r="P5" i="9"/>
  <c r="P29" i="9"/>
  <c r="O18" i="9"/>
  <c r="W34" i="9"/>
  <c r="W33" i="9"/>
  <c r="L32" i="9"/>
  <c r="L35" i="9"/>
  <c r="L29" i="9"/>
  <c r="M22" i="13"/>
  <c r="Q51" i="9"/>
  <c r="Q44" i="9"/>
  <c r="Q11" i="9"/>
  <c r="Q23" i="9"/>
  <c r="Q22" i="9"/>
  <c r="U5" i="9"/>
  <c r="U53" i="7"/>
  <c r="U58" i="7" s="1"/>
  <c r="U12" i="8" s="1"/>
  <c r="U35" i="9"/>
  <c r="U14" i="9"/>
  <c r="U27" i="9"/>
  <c r="U40" i="9"/>
  <c r="U46" i="9"/>
  <c r="X14" i="9"/>
  <c r="X27" i="9"/>
  <c r="X40" i="9"/>
  <c r="X46" i="9"/>
  <c r="X26" i="9"/>
  <c r="X43" i="9"/>
  <c r="AD35" i="7"/>
  <c r="AC35" i="9"/>
  <c r="AD35" i="9" s="1"/>
  <c r="AD27" i="7"/>
  <c r="AC27" i="9"/>
  <c r="AD27" i="9" s="1"/>
  <c r="AD45" i="7"/>
  <c r="AC45" i="9"/>
  <c r="AD45" i="9" s="1"/>
  <c r="AD47" i="7"/>
  <c r="AC47" i="9"/>
  <c r="AD47" i="9" s="1"/>
  <c r="AD17" i="7"/>
  <c r="AC17" i="9"/>
  <c r="AD17" i="9" s="1"/>
  <c r="R29" i="12"/>
  <c r="S29" i="12" s="1"/>
  <c r="S29" i="11"/>
  <c r="R29" i="13"/>
  <c r="S29" i="13" s="1"/>
  <c r="S39" i="11"/>
  <c r="R39" i="12"/>
  <c r="S39" i="12" s="1"/>
  <c r="R39" i="13"/>
  <c r="S39" i="13" s="1"/>
  <c r="R16" i="12"/>
  <c r="S16" i="12" s="1"/>
  <c r="S16" i="11"/>
  <c r="R16" i="13"/>
  <c r="S16" i="13" s="1"/>
  <c r="R37" i="12"/>
  <c r="S37" i="11"/>
  <c r="R37" i="13"/>
  <c r="S37" i="13" s="1"/>
  <c r="R5" i="12"/>
  <c r="S5" i="11"/>
  <c r="R5" i="13"/>
  <c r="R43" i="11"/>
  <c r="AH40" i="9"/>
  <c r="AH37" i="9"/>
  <c r="AH30" i="9"/>
  <c r="AH14" i="9"/>
  <c r="AH25" i="9"/>
  <c r="M34" i="7"/>
  <c r="Z6" i="11"/>
  <c r="Z9" i="11"/>
  <c r="Z15" i="11"/>
  <c r="Z7" i="11"/>
  <c r="Z5" i="11"/>
  <c r="Z10" i="11"/>
  <c r="Z8" i="11"/>
  <c r="Z13" i="11"/>
  <c r="Z32" i="11"/>
  <c r="Z25" i="11"/>
  <c r="Z41" i="11"/>
  <c r="Z18" i="11"/>
  <c r="Z35" i="11"/>
  <c r="Z38" i="11"/>
  <c r="Z22" i="11"/>
  <c r="Z16" i="11"/>
  <c r="Z14" i="11"/>
  <c r="Z11" i="11"/>
  <c r="Z24" i="11"/>
  <c r="Z23" i="11"/>
  <c r="Z39" i="11"/>
  <c r="Z37" i="11"/>
  <c r="Z33" i="11"/>
  <c r="Z26" i="11"/>
  <c r="Z30" i="11"/>
  <c r="Z12" i="11"/>
  <c r="Z17" i="11"/>
  <c r="Z21" i="11"/>
  <c r="Z34" i="11"/>
  <c r="Z29" i="11"/>
  <c r="Z20" i="11"/>
  <c r="Z40" i="11"/>
  <c r="Z19" i="11"/>
  <c r="Z31" i="11"/>
  <c r="Z36" i="11"/>
  <c r="Z28" i="11"/>
  <c r="Z27" i="11"/>
  <c r="AI34" i="9"/>
  <c r="AI18" i="9"/>
  <c r="AI10" i="9"/>
  <c r="AI22" i="9"/>
  <c r="R48" i="9"/>
  <c r="R31" i="9"/>
  <c r="R36" i="9"/>
  <c r="R49" i="9"/>
  <c r="R13" i="9"/>
  <c r="R7" i="9"/>
  <c r="R22" i="9"/>
  <c r="M46" i="7"/>
  <c r="M19" i="7"/>
  <c r="P46" i="9"/>
  <c r="P47" i="9"/>
  <c r="P6" i="9"/>
  <c r="P11" i="9"/>
  <c r="P22" i="9"/>
  <c r="M30" i="7"/>
  <c r="O43" i="9"/>
  <c r="O35" i="9"/>
  <c r="O30" i="9"/>
  <c r="O10" i="9"/>
  <c r="O15" i="9"/>
  <c r="O16" i="9"/>
  <c r="W7" i="9"/>
  <c r="W37" i="9"/>
  <c r="W9" i="9"/>
  <c r="W29" i="9"/>
  <c r="W36" i="9"/>
  <c r="W51" i="9"/>
  <c r="L31" i="9"/>
  <c r="L30" i="9"/>
  <c r="L40" i="9"/>
  <c r="L44" i="9"/>
  <c r="L53" i="7"/>
  <c r="L58" i="7" s="1"/>
  <c r="L30" i="8" s="1"/>
  <c r="L30" i="23" s="1"/>
  <c r="L82" i="23" s="1"/>
  <c r="L5" i="9"/>
  <c r="L10" i="9"/>
  <c r="M19" i="12"/>
  <c r="M19" i="13"/>
  <c r="M24" i="12"/>
  <c r="M24" i="13"/>
  <c r="M17" i="12"/>
  <c r="M17" i="13"/>
  <c r="M39" i="12"/>
  <c r="M39" i="13"/>
  <c r="Q45" i="9"/>
  <c r="Q50" i="9"/>
  <c r="Q35" i="9"/>
  <c r="Q9" i="9"/>
  <c r="Q14" i="9"/>
  <c r="Q28" i="9"/>
  <c r="U12" i="9"/>
  <c r="U16" i="9"/>
  <c r="U17" i="9"/>
  <c r="U18" i="9"/>
  <c r="U50" i="9"/>
  <c r="U49" i="8"/>
  <c r="U49" i="9"/>
  <c r="X17" i="9"/>
  <c r="X18" i="9"/>
  <c r="X45" i="9"/>
  <c r="X9" i="9"/>
  <c r="X29" i="9"/>
  <c r="X47" i="9"/>
  <c r="AD21" i="7"/>
  <c r="AC21" i="9"/>
  <c r="AD21" i="9" s="1"/>
  <c r="AD26" i="7"/>
  <c r="AC26" i="9"/>
  <c r="AD26" i="9" s="1"/>
  <c r="AD33" i="7"/>
  <c r="AC33" i="9"/>
  <c r="AD33" i="9" s="1"/>
  <c r="AD43" i="7"/>
  <c r="AC43" i="9"/>
  <c r="AD43" i="9" s="1"/>
  <c r="AD25" i="7"/>
  <c r="AC25" i="9"/>
  <c r="AD25" i="9" s="1"/>
  <c r="AD20" i="7"/>
  <c r="AC20" i="9"/>
  <c r="AD20" i="9" s="1"/>
  <c r="R25" i="12"/>
  <c r="S25" i="11"/>
  <c r="R25" i="13"/>
  <c r="S25" i="13" s="1"/>
  <c r="R40" i="12"/>
  <c r="S40" i="11"/>
  <c r="R40" i="13"/>
  <c r="S40" i="13" s="1"/>
  <c r="R28" i="12"/>
  <c r="S28" i="12" s="1"/>
  <c r="S28" i="11"/>
  <c r="R28" i="13"/>
  <c r="S28" i="13" s="1"/>
  <c r="R30" i="12"/>
  <c r="S30" i="11"/>
  <c r="R30" i="13"/>
  <c r="S30" i="13" s="1"/>
  <c r="R7" i="12"/>
  <c r="S7" i="11"/>
  <c r="R7" i="13"/>
  <c r="S7" i="13" s="1"/>
  <c r="M35" i="7"/>
  <c r="AH31" i="9"/>
  <c r="AH36" i="9"/>
  <c r="AH49" i="9"/>
  <c r="AH7" i="9"/>
  <c r="AH13" i="9"/>
  <c r="M48" i="7"/>
  <c r="Y60" i="6"/>
  <c r="Y54" i="8"/>
  <c r="Y58" i="8" s="1"/>
  <c r="Y54" i="9"/>
  <c r="Y54" i="7"/>
  <c r="R37" i="9"/>
  <c r="P45" i="9"/>
  <c r="P12" i="9"/>
  <c r="O46" i="9"/>
  <c r="W14" i="9"/>
  <c r="W44" i="9"/>
  <c r="L34" i="9"/>
  <c r="L15" i="9"/>
  <c r="M41" i="12"/>
  <c r="M41" i="13"/>
  <c r="Q41" i="9"/>
  <c r="AD15" i="7"/>
  <c r="AC15" i="9"/>
  <c r="AD15" i="9" s="1"/>
  <c r="V8" i="11"/>
  <c r="V6" i="11"/>
  <c r="V9" i="11"/>
  <c r="V10" i="11"/>
  <c r="V27" i="11"/>
  <c r="V7" i="11"/>
  <c r="V33" i="11"/>
  <c r="V15" i="11"/>
  <c r="V5" i="11"/>
  <c r="V22" i="11"/>
  <c r="V28" i="11"/>
  <c r="V12" i="11"/>
  <c r="V34" i="11"/>
  <c r="V30" i="11"/>
  <c r="V21" i="11"/>
  <c r="V26" i="11"/>
  <c r="V23" i="11"/>
  <c r="V17" i="11"/>
  <c r="V37" i="11"/>
  <c r="V35" i="11"/>
  <c r="V16" i="11"/>
  <c r="V31" i="11"/>
  <c r="V25" i="11"/>
  <c r="V19" i="11"/>
  <c r="V32" i="11"/>
  <c r="V24" i="11"/>
  <c r="V20" i="11"/>
  <c r="V41" i="11"/>
  <c r="V14" i="11"/>
  <c r="V39" i="11"/>
  <c r="V40" i="11"/>
  <c r="V13" i="11"/>
  <c r="V36" i="11"/>
  <c r="V18" i="11"/>
  <c r="V38" i="11"/>
  <c r="V29" i="11"/>
  <c r="V11" i="11"/>
  <c r="M25" i="7"/>
  <c r="AI15" i="9"/>
  <c r="AI17" i="9"/>
  <c r="AI32" i="9"/>
  <c r="R32" i="9"/>
  <c r="R42" i="9"/>
  <c r="R35" i="9"/>
  <c r="R16" i="9"/>
  <c r="R11" i="9"/>
  <c r="R25" i="9"/>
  <c r="M18" i="7"/>
  <c r="M30" i="12"/>
  <c r="M30" i="13"/>
  <c r="M12" i="7"/>
  <c r="P42" i="8"/>
  <c r="P42" i="9"/>
  <c r="P51" i="8"/>
  <c r="P51" i="9"/>
  <c r="P13" i="8"/>
  <c r="P13" i="9"/>
  <c r="P27" i="8"/>
  <c r="P27" i="9"/>
  <c r="P25" i="8"/>
  <c r="P25" i="9"/>
  <c r="Q39" i="9"/>
  <c r="O29" i="9"/>
  <c r="O48" i="9"/>
  <c r="O36" i="9"/>
  <c r="O8" i="9"/>
  <c r="O53" i="7"/>
  <c r="O58" i="7" s="1"/>
  <c r="O50" i="8" s="1"/>
  <c r="O50" i="23" s="1"/>
  <c r="O102" i="23" s="1"/>
  <c r="O5" i="9"/>
  <c r="M51" i="7"/>
  <c r="W11" i="9"/>
  <c r="W8" i="9"/>
  <c r="W19" i="9"/>
  <c r="W32" i="9"/>
  <c r="W39" i="9"/>
  <c r="W42" i="9"/>
  <c r="S46" i="12"/>
  <c r="S46" i="13"/>
  <c r="S46" i="11"/>
  <c r="S46" i="10"/>
  <c r="L46" i="9"/>
  <c r="L33" i="9"/>
  <c r="L39" i="9"/>
  <c r="L50" i="9"/>
  <c r="L22" i="9"/>
  <c r="L23" i="9"/>
  <c r="M28" i="12"/>
  <c r="M28" i="13"/>
  <c r="M37" i="12"/>
  <c r="M37" i="13"/>
  <c r="M40" i="12"/>
  <c r="M40" i="13"/>
  <c r="M32" i="12"/>
  <c r="M32" i="13"/>
  <c r="M6" i="12"/>
  <c r="M6" i="13"/>
  <c r="Q33" i="9"/>
  <c r="Q47" i="9"/>
  <c r="Q34" i="9"/>
  <c r="Q6" i="9"/>
  <c r="Q27" i="9"/>
  <c r="M40" i="7"/>
  <c r="U22" i="8"/>
  <c r="U22" i="9"/>
  <c r="U26" i="8"/>
  <c r="U26" i="9"/>
  <c r="U20" i="8"/>
  <c r="U20" i="9"/>
  <c r="U21" i="8"/>
  <c r="T21" i="23" s="1"/>
  <c r="T73" i="23" s="1"/>
  <c r="U21" i="9"/>
  <c r="U41" i="8"/>
  <c r="U41" i="9"/>
  <c r="M33" i="7"/>
  <c r="X20" i="9"/>
  <c r="X21" i="9"/>
  <c r="X5" i="9"/>
  <c r="X53" i="7"/>
  <c r="X58" i="7" s="1"/>
  <c r="X40" i="8" s="1"/>
  <c r="W40" i="23" s="1"/>
  <c r="W92" i="23" s="1"/>
  <c r="X19" i="9"/>
  <c r="X32" i="9"/>
  <c r="X41" i="9"/>
  <c r="AD40" i="7"/>
  <c r="AC40" i="9"/>
  <c r="AD40" i="9" s="1"/>
  <c r="AD32" i="7"/>
  <c r="AC32" i="9"/>
  <c r="AD32" i="9" s="1"/>
  <c r="AD46" i="7"/>
  <c r="AC46" i="9"/>
  <c r="AD46" i="9" s="1"/>
  <c r="AD42" i="7"/>
  <c r="AC42" i="9"/>
  <c r="AD42" i="9" s="1"/>
  <c r="AD9" i="7"/>
  <c r="AC9" i="9"/>
  <c r="AD9" i="9" s="1"/>
  <c r="AD7" i="7"/>
  <c r="AC7" i="9"/>
  <c r="AD7" i="9" s="1"/>
  <c r="R24" i="12"/>
  <c r="S24" i="12" s="1"/>
  <c r="S24" i="11"/>
  <c r="R24" i="13"/>
  <c r="S24" i="13" s="1"/>
  <c r="R38" i="12"/>
  <c r="S38" i="11"/>
  <c r="R38" i="13"/>
  <c r="S38" i="13" s="1"/>
  <c r="R26" i="12"/>
  <c r="S26" i="11"/>
  <c r="R26" i="13"/>
  <c r="S26" i="13" s="1"/>
  <c r="R6" i="12"/>
  <c r="S6" i="11"/>
  <c r="R6" i="13"/>
  <c r="S6" i="13" s="1"/>
  <c r="R15" i="12"/>
  <c r="S15" i="11"/>
  <c r="R15" i="13"/>
  <c r="S15" i="13" s="1"/>
  <c r="AH35" i="9"/>
  <c r="AH22" i="9"/>
  <c r="AH42" i="9"/>
  <c r="AH51" i="9"/>
  <c r="AH11" i="9"/>
  <c r="AH16" i="9"/>
  <c r="M41" i="7"/>
  <c r="AI8" i="9"/>
  <c r="O31" i="9"/>
  <c r="AI5" i="9"/>
  <c r="AI53" i="7"/>
  <c r="AI58" i="7" s="1"/>
  <c r="AI36" i="8" s="1"/>
  <c r="AI25" i="9"/>
  <c r="AI20" i="9"/>
  <c r="AI41" i="9"/>
  <c r="AI36" i="9"/>
  <c r="O6" i="11"/>
  <c r="O9" i="11"/>
  <c r="O15" i="11"/>
  <c r="O7" i="11"/>
  <c r="O5" i="11"/>
  <c r="O10" i="11"/>
  <c r="O8" i="11"/>
  <c r="O13" i="11"/>
  <c r="O25" i="11"/>
  <c r="O22" i="11"/>
  <c r="O29" i="11"/>
  <c r="O23" i="11"/>
  <c r="O41" i="11"/>
  <c r="O35" i="11"/>
  <c r="O31" i="11"/>
  <c r="O18" i="11"/>
  <c r="O37" i="11"/>
  <c r="O38" i="11"/>
  <c r="O39" i="11"/>
  <c r="O34" i="11"/>
  <c r="O11" i="11"/>
  <c r="O19" i="11"/>
  <c r="O40" i="11"/>
  <c r="O32" i="11"/>
  <c r="O14" i="11"/>
  <c r="O26" i="11"/>
  <c r="O33" i="11"/>
  <c r="O20" i="11"/>
  <c r="O30" i="11"/>
  <c r="O28" i="11"/>
  <c r="O12" i="11"/>
  <c r="O36" i="11"/>
  <c r="O21" i="11"/>
  <c r="O17" i="11"/>
  <c r="O16" i="11"/>
  <c r="O27" i="11"/>
  <c r="O24" i="11"/>
  <c r="R41" i="9"/>
  <c r="R38" i="9"/>
  <c r="R53" i="7"/>
  <c r="R5" i="9"/>
  <c r="R26" i="9"/>
  <c r="R27" i="9"/>
  <c r="R28" i="9"/>
  <c r="M11" i="7"/>
  <c r="P43" i="8"/>
  <c r="P43" i="9"/>
  <c r="P33" i="8"/>
  <c r="P33" i="23" s="1"/>
  <c r="P85" i="23" s="1"/>
  <c r="P33" i="9"/>
  <c r="P39" i="8"/>
  <c r="P39" i="9"/>
  <c r="P10" i="8"/>
  <c r="P10" i="9"/>
  <c r="P18" i="8"/>
  <c r="P18" i="9"/>
  <c r="P28" i="8"/>
  <c r="P28" i="9"/>
  <c r="O34" i="9"/>
  <c r="O27" i="9"/>
  <c r="O32" i="9"/>
  <c r="O14" i="9"/>
  <c r="O12" i="9"/>
  <c r="M17" i="7"/>
  <c r="W27" i="9"/>
  <c r="W15" i="9"/>
  <c r="W35" i="9"/>
  <c r="W10" i="9"/>
  <c r="W46" i="9"/>
  <c r="W45" i="9"/>
  <c r="R32" i="12"/>
  <c r="S32" i="12" s="1"/>
  <c r="S32" i="11"/>
  <c r="R32" i="13"/>
  <c r="S32" i="13" s="1"/>
  <c r="L37" i="9"/>
  <c r="L51" i="9"/>
  <c r="L17" i="9"/>
  <c r="L7" i="9"/>
  <c r="L28" i="9"/>
  <c r="L14" i="9"/>
  <c r="M31" i="12"/>
  <c r="M31" i="13"/>
  <c r="M20" i="12"/>
  <c r="M20" i="13"/>
  <c r="M11" i="12"/>
  <c r="M11" i="13"/>
  <c r="M8" i="12"/>
  <c r="M8" i="13"/>
  <c r="M27" i="7"/>
  <c r="Q37" i="9"/>
  <c r="Q7" i="9"/>
  <c r="Q40" i="9"/>
  <c r="Q13" i="9"/>
  <c r="Q21" i="9"/>
  <c r="U6" i="8"/>
  <c r="T6" i="23" s="1"/>
  <c r="T58" i="23" s="1"/>
  <c r="U6" i="9"/>
  <c r="U25" i="8"/>
  <c r="U25" i="9"/>
  <c r="U29" i="8"/>
  <c r="U29" i="9"/>
  <c r="U30" i="8"/>
  <c r="U30" i="9"/>
  <c r="U24" i="8"/>
  <c r="T24" i="23" s="1"/>
  <c r="T76" i="23" s="1"/>
  <c r="U24" i="9"/>
  <c r="U44" i="8"/>
  <c r="U44" i="9"/>
  <c r="M39" i="7"/>
  <c r="X30" i="9"/>
  <c r="X24" i="9"/>
  <c r="X12" i="9"/>
  <c r="X35" i="9"/>
  <c r="X49" i="9"/>
  <c r="X44" i="9"/>
  <c r="AD39" i="7"/>
  <c r="AC39" i="9"/>
  <c r="AD39" i="9" s="1"/>
  <c r="AD28" i="7"/>
  <c r="AC28" i="9"/>
  <c r="AD28" i="9" s="1"/>
  <c r="AD37" i="7"/>
  <c r="AC37" i="9"/>
  <c r="AD37" i="9" s="1"/>
  <c r="AD48" i="7"/>
  <c r="AC48" i="9"/>
  <c r="AD48" i="9" s="1"/>
  <c r="AD6" i="7"/>
  <c r="AC6" i="9"/>
  <c r="AD6" i="9" s="1"/>
  <c r="AD11" i="7"/>
  <c r="AC11" i="9"/>
  <c r="AD11" i="9" s="1"/>
  <c r="R34" i="12"/>
  <c r="S34" i="11"/>
  <c r="R34" i="13"/>
  <c r="S34" i="13" s="1"/>
  <c r="R35" i="12"/>
  <c r="S35" i="11"/>
  <c r="R35" i="13"/>
  <c r="S35" i="13" s="1"/>
  <c r="R33" i="12"/>
  <c r="S33" i="12" s="1"/>
  <c r="S33" i="11"/>
  <c r="R33" i="13"/>
  <c r="S33" i="13" s="1"/>
  <c r="R23" i="12"/>
  <c r="S23" i="11"/>
  <c r="R23" i="13"/>
  <c r="S23" i="13" s="1"/>
  <c r="R9" i="12"/>
  <c r="S9" i="11"/>
  <c r="R9" i="13"/>
  <c r="S9" i="13" s="1"/>
  <c r="AH41" i="9"/>
  <c r="AH45" i="9"/>
  <c r="AH38" i="9"/>
  <c r="AH26" i="9"/>
  <c r="AH8" i="9"/>
  <c r="AH19" i="9"/>
  <c r="M26" i="7"/>
  <c r="U10" i="11"/>
  <c r="U8" i="11"/>
  <c r="U6" i="11"/>
  <c r="U9" i="11"/>
  <c r="U15" i="11"/>
  <c r="U7" i="11"/>
  <c r="U5" i="11"/>
  <c r="U24" i="11"/>
  <c r="U12" i="11"/>
  <c r="U16" i="11"/>
  <c r="U21" i="11"/>
  <c r="U14" i="11"/>
  <c r="U13" i="11"/>
  <c r="U40" i="11"/>
  <c r="U29" i="11"/>
  <c r="U23" i="11"/>
  <c r="U17" i="11"/>
  <c r="U30" i="11"/>
  <c r="U11" i="11"/>
  <c r="U33" i="11"/>
  <c r="U38" i="11"/>
  <c r="U20" i="11"/>
  <c r="U18" i="11"/>
  <c r="U25" i="11"/>
  <c r="U35" i="11"/>
  <c r="U28" i="11"/>
  <c r="U36" i="11"/>
  <c r="U19" i="11"/>
  <c r="U34" i="11"/>
  <c r="U27" i="11"/>
  <c r="U41" i="11"/>
  <c r="U31" i="11"/>
  <c r="U32" i="11"/>
  <c r="U26" i="11"/>
  <c r="U22" i="11"/>
  <c r="U37" i="11"/>
  <c r="U39" i="11"/>
  <c r="AI21" i="9"/>
  <c r="R6" i="9"/>
  <c r="W38" i="9"/>
  <c r="L44" i="12"/>
  <c r="L48" i="12" s="1"/>
  <c r="L44" i="13"/>
  <c r="L44" i="11"/>
  <c r="L48" i="11" s="1"/>
  <c r="L44" i="10"/>
  <c r="M13" i="7"/>
  <c r="AI9" i="9"/>
  <c r="AI50" i="9"/>
  <c r="AI27" i="9"/>
  <c r="N8" i="11"/>
  <c r="N6" i="11"/>
  <c r="N9" i="11"/>
  <c r="N15" i="11"/>
  <c r="N7" i="11"/>
  <c r="N5" i="11"/>
  <c r="N30" i="11"/>
  <c r="N20" i="11"/>
  <c r="N10" i="11"/>
  <c r="N35" i="11"/>
  <c r="N22" i="11"/>
  <c r="N24" i="11"/>
  <c r="N17" i="11"/>
  <c r="N11" i="11"/>
  <c r="N13" i="11"/>
  <c r="N34" i="11"/>
  <c r="N12" i="11"/>
  <c r="N33" i="11"/>
  <c r="N28" i="11"/>
  <c r="N38" i="11"/>
  <c r="N19" i="11"/>
  <c r="N21" i="11"/>
  <c r="N14" i="11"/>
  <c r="N16" i="11"/>
  <c r="N41" i="11"/>
  <c r="N39" i="11"/>
  <c r="N32" i="11"/>
  <c r="N26" i="11"/>
  <c r="N40" i="11"/>
  <c r="N36" i="11"/>
  <c r="N27" i="11"/>
  <c r="N23" i="11"/>
  <c r="N18" i="11"/>
  <c r="N31" i="11"/>
  <c r="N25" i="11"/>
  <c r="N29" i="11"/>
  <c r="N37" i="11"/>
  <c r="R45" i="9"/>
  <c r="R34" i="9"/>
  <c r="R12" i="9"/>
  <c r="R29" i="9"/>
  <c r="R18" i="9"/>
  <c r="M42" i="7"/>
  <c r="P49" i="8"/>
  <c r="P49" i="23" s="1"/>
  <c r="P101" i="23" s="1"/>
  <c r="P49" i="9"/>
  <c r="P32" i="8"/>
  <c r="P32" i="9"/>
  <c r="P37" i="8"/>
  <c r="P37" i="9"/>
  <c r="P23" i="8"/>
  <c r="P23" i="9"/>
  <c r="P21" i="8"/>
  <c r="P21" i="9"/>
  <c r="P9" i="8"/>
  <c r="P9" i="23" s="1"/>
  <c r="P61" i="23" s="1"/>
  <c r="P9" i="9"/>
  <c r="O26" i="9"/>
  <c r="O33" i="9"/>
  <c r="O39" i="9"/>
  <c r="O22" i="9"/>
  <c r="O17" i="9"/>
  <c r="O25" i="9"/>
  <c r="M32" i="7"/>
  <c r="W43" i="9"/>
  <c r="W31" i="9"/>
  <c r="W47" i="9"/>
  <c r="W23" i="9"/>
  <c r="W49" i="9"/>
  <c r="W48" i="9"/>
  <c r="L42" i="9"/>
  <c r="L18" i="9"/>
  <c r="L41" i="9"/>
  <c r="L9" i="8"/>
  <c r="L9" i="9"/>
  <c r="L6" i="9"/>
  <c r="L27" i="9"/>
  <c r="M23" i="12"/>
  <c r="M23" i="13"/>
  <c r="M16" i="12"/>
  <c r="M16" i="13"/>
  <c r="M18" i="12"/>
  <c r="M18" i="13"/>
  <c r="M15" i="12"/>
  <c r="M15" i="13"/>
  <c r="Q20" i="9"/>
  <c r="Q31" i="9"/>
  <c r="Q30" i="9"/>
  <c r="Q36" i="9"/>
  <c r="Q16" i="9"/>
  <c r="Q24" i="9"/>
  <c r="U13" i="8"/>
  <c r="U13" i="9"/>
  <c r="U28" i="8"/>
  <c r="U28" i="9"/>
  <c r="U32" i="8"/>
  <c r="U32" i="9"/>
  <c r="U33" i="8"/>
  <c r="U33" i="9"/>
  <c r="U34" i="8"/>
  <c r="U34" i="9"/>
  <c r="U42" i="8"/>
  <c r="U42" i="9"/>
  <c r="AH32" i="9"/>
  <c r="X33" i="9"/>
  <c r="X34" i="9"/>
  <c r="X22" i="9"/>
  <c r="X48" i="9"/>
  <c r="X23" i="9"/>
  <c r="X51" i="9"/>
  <c r="AD29" i="7"/>
  <c r="AC29" i="9"/>
  <c r="AD29" i="9" s="1"/>
  <c r="AD49" i="7"/>
  <c r="AC49" i="9"/>
  <c r="AD49" i="9" s="1"/>
  <c r="AD24" i="7"/>
  <c r="AC24" i="9"/>
  <c r="AD24" i="9" s="1"/>
  <c r="AD10" i="7"/>
  <c r="AC10" i="9"/>
  <c r="AD10" i="9" s="1"/>
  <c r="AD13" i="7"/>
  <c r="AC13" i="9"/>
  <c r="AD13" i="9" s="1"/>
  <c r="AD18" i="7"/>
  <c r="AC18" i="9"/>
  <c r="AD18" i="9" s="1"/>
  <c r="R22" i="12"/>
  <c r="S22" i="11"/>
  <c r="R22" i="13"/>
  <c r="S22" i="13" s="1"/>
  <c r="S41" i="11"/>
  <c r="R41" i="12"/>
  <c r="R41" i="13"/>
  <c r="S41" i="13" s="1"/>
  <c r="R12" i="12"/>
  <c r="S12" i="12" s="1"/>
  <c r="S12" i="11"/>
  <c r="R12" i="13"/>
  <c r="S12" i="13" s="1"/>
  <c r="R11" i="12"/>
  <c r="S11" i="11"/>
  <c r="R11" i="13"/>
  <c r="S11" i="13" s="1"/>
  <c r="M8" i="7"/>
  <c r="AH47" i="9"/>
  <c r="AH44" i="9"/>
  <c r="AH29" i="9"/>
  <c r="AH33" i="9"/>
  <c r="AH18" i="9"/>
  <c r="AH6" i="9"/>
  <c r="AI24" i="9"/>
  <c r="R47" i="9"/>
  <c r="R15" i="9"/>
  <c r="P40" i="8"/>
  <c r="P40" i="9"/>
  <c r="P7" i="8"/>
  <c r="P7" i="9"/>
  <c r="O41" i="9"/>
  <c r="O45" i="9"/>
  <c r="O13" i="8"/>
  <c r="O13" i="9"/>
  <c r="W26" i="9"/>
  <c r="L45" i="9"/>
  <c r="AI12" i="9"/>
  <c r="AI45" i="9"/>
  <c r="V39" i="7"/>
  <c r="V48" i="7"/>
  <c r="V45" i="7"/>
  <c r="V42" i="7"/>
  <c r="V51" i="7"/>
  <c r="V47" i="7"/>
  <c r="V43" i="7"/>
  <c r="V27" i="7"/>
  <c r="V50" i="7"/>
  <c r="V41" i="7"/>
  <c r="V36" i="7"/>
  <c r="V33" i="7"/>
  <c r="V30" i="7"/>
  <c r="V20" i="7"/>
  <c r="V17" i="7"/>
  <c r="V14" i="7"/>
  <c r="V49" i="7"/>
  <c r="V23" i="7"/>
  <c r="V10" i="7"/>
  <c r="V32" i="7"/>
  <c r="V29" i="7"/>
  <c r="V26" i="7"/>
  <c r="V16" i="7"/>
  <c r="V13" i="7"/>
  <c r="V6" i="7"/>
  <c r="V46" i="7"/>
  <c r="V35" i="7"/>
  <c r="V19" i="7"/>
  <c r="V44" i="7"/>
  <c r="V40" i="7"/>
  <c r="V38" i="7"/>
  <c r="V28" i="7"/>
  <c r="V25" i="7"/>
  <c r="V22" i="7"/>
  <c r="V12" i="7"/>
  <c r="V5" i="7"/>
  <c r="V31" i="7"/>
  <c r="V15" i="7"/>
  <c r="V8" i="7"/>
  <c r="V37" i="7"/>
  <c r="V34" i="7"/>
  <c r="V24" i="7"/>
  <c r="V21" i="7"/>
  <c r="V18" i="7"/>
  <c r="V9" i="7"/>
  <c r="V11" i="7"/>
  <c r="V7" i="7"/>
  <c r="AI7" i="8"/>
  <c r="AI7" i="9"/>
  <c r="AI13" i="9"/>
  <c r="AI37" i="9"/>
  <c r="AI23" i="9"/>
  <c r="AI30" i="8"/>
  <c r="AI30" i="9"/>
  <c r="R44" i="9"/>
  <c r="R30" i="9"/>
  <c r="R10" i="9"/>
  <c r="R21" i="9"/>
  <c r="R14" i="9"/>
  <c r="M49" i="7"/>
  <c r="M22" i="7"/>
  <c r="P44" i="8"/>
  <c r="P44" i="9"/>
  <c r="P38" i="8"/>
  <c r="P38" i="9"/>
  <c r="P31" i="8"/>
  <c r="P31" i="9"/>
  <c r="P14" i="8"/>
  <c r="P14" i="9"/>
  <c r="P24" i="8"/>
  <c r="P24" i="9"/>
  <c r="P19" i="8"/>
  <c r="P19" i="9"/>
  <c r="O49" i="8"/>
  <c r="O49" i="9"/>
  <c r="O24" i="9"/>
  <c r="O38" i="9"/>
  <c r="O21" i="9"/>
  <c r="O20" i="8"/>
  <c r="O20" i="9"/>
  <c r="O9" i="9"/>
  <c r="M24" i="7"/>
  <c r="W18" i="9"/>
  <c r="W22" i="9"/>
  <c r="W6" i="9"/>
  <c r="W17" i="9"/>
  <c r="W40" i="9"/>
  <c r="M29" i="7"/>
  <c r="M50" i="7"/>
  <c r="L38" i="9"/>
  <c r="L43" i="9"/>
  <c r="L19" i="9"/>
  <c r="L21" i="9"/>
  <c r="L13" i="9"/>
  <c r="M23" i="7"/>
  <c r="M21" i="7"/>
  <c r="M36" i="12"/>
  <c r="M36" i="13"/>
  <c r="M38" i="12"/>
  <c r="M38" i="13"/>
  <c r="M5" i="12"/>
  <c r="M5" i="13"/>
  <c r="Q49" i="9"/>
  <c r="Q17" i="9"/>
  <c r="Q43" i="9"/>
  <c r="Q19" i="9"/>
  <c r="Q26" i="9"/>
  <c r="Q8" i="9"/>
  <c r="U8" i="8"/>
  <c r="U8" i="9"/>
  <c r="U38" i="8"/>
  <c r="T38" i="23" s="1"/>
  <c r="T90" i="23" s="1"/>
  <c r="U38" i="9"/>
  <c r="U47" i="8"/>
  <c r="U47" i="9"/>
  <c r="U36" i="8"/>
  <c r="U36" i="9"/>
  <c r="U37" i="8"/>
  <c r="U37" i="9"/>
  <c r="U45" i="8"/>
  <c r="T45" i="23" s="1"/>
  <c r="T97" i="23" s="1"/>
  <c r="U45" i="9"/>
  <c r="M31" i="7"/>
  <c r="X36" i="9"/>
  <c r="X37" i="9"/>
  <c r="X25" i="9"/>
  <c r="X6" i="9"/>
  <c r="X42" i="9"/>
  <c r="M44" i="7"/>
  <c r="AD34" i="7"/>
  <c r="AC34" i="9"/>
  <c r="AD34" i="9" s="1"/>
  <c r="AD31" i="7"/>
  <c r="AC31" i="9"/>
  <c r="AD31" i="9" s="1"/>
  <c r="AD51" i="7"/>
  <c r="AC51" i="9"/>
  <c r="AD51" i="9" s="1"/>
  <c r="AD8" i="7"/>
  <c r="AC8" i="9"/>
  <c r="AD8" i="9" s="1"/>
  <c r="AD16" i="7"/>
  <c r="AC16" i="9"/>
  <c r="AD16" i="9" s="1"/>
  <c r="R36" i="12"/>
  <c r="S36" i="12" s="1"/>
  <c r="S36" i="11"/>
  <c r="R36" i="13"/>
  <c r="S36" i="13" s="1"/>
  <c r="R21" i="12"/>
  <c r="S21" i="11"/>
  <c r="R21" i="13"/>
  <c r="S21" i="13" s="1"/>
  <c r="R20" i="12"/>
  <c r="S20" i="11"/>
  <c r="R20" i="13"/>
  <c r="S20" i="13" s="1"/>
  <c r="R31" i="12"/>
  <c r="S31" i="11"/>
  <c r="R31" i="13"/>
  <c r="S31" i="13" s="1"/>
  <c r="AH48" i="9"/>
  <c r="AH50" i="9"/>
  <c r="AH24" i="9"/>
  <c r="AH21" i="9"/>
  <c r="AH53" i="7"/>
  <c r="AH58" i="7" s="1"/>
  <c r="AH32" i="8" s="1"/>
  <c r="AH5" i="9"/>
  <c r="AH10" i="9"/>
  <c r="M10" i="7"/>
  <c r="M16" i="7"/>
  <c r="M6" i="7"/>
  <c r="M9" i="7"/>
  <c r="M15" i="7"/>
  <c r="M5" i="7"/>
  <c r="M38" i="7"/>
  <c r="M14" i="7"/>
  <c r="V54" i="9"/>
  <c r="V54" i="8"/>
  <c r="V58" i="8" s="1"/>
  <c r="V22" i="9" s="1"/>
  <c r="V54" i="7"/>
  <c r="P9" i="11"/>
  <c r="P15" i="11"/>
  <c r="P7" i="11"/>
  <c r="P5" i="11"/>
  <c r="P10" i="11"/>
  <c r="P6" i="11"/>
  <c r="P16" i="11"/>
  <c r="P28" i="11"/>
  <c r="P8" i="11"/>
  <c r="P24" i="11"/>
  <c r="P18" i="11"/>
  <c r="P13" i="11"/>
  <c r="P29" i="11"/>
  <c r="P32" i="11"/>
  <c r="P26" i="11"/>
  <c r="P22" i="11"/>
  <c r="P14" i="11"/>
  <c r="P19" i="11"/>
  <c r="P37" i="11"/>
  <c r="P38" i="11"/>
  <c r="P31" i="11"/>
  <c r="P25" i="11"/>
  <c r="P41" i="11"/>
  <c r="P36" i="11"/>
  <c r="P11" i="11"/>
  <c r="P21" i="11"/>
  <c r="P34" i="11"/>
  <c r="P17" i="11"/>
  <c r="P20" i="11"/>
  <c r="P35" i="11"/>
  <c r="P40" i="11"/>
  <c r="P30" i="11"/>
  <c r="P23" i="11"/>
  <c r="P27" i="11"/>
  <c r="P39" i="11"/>
  <c r="P33" i="11"/>
  <c r="P12" i="11"/>
  <c r="AI46" i="9"/>
  <c r="AI14" i="9"/>
  <c r="AI16" i="8"/>
  <c r="AI16" i="9"/>
  <c r="AI43" i="9"/>
  <c r="AI51" i="9"/>
  <c r="AI31" i="9"/>
  <c r="R50" i="9"/>
  <c r="R51" i="9"/>
  <c r="R9" i="9"/>
  <c r="R23" i="9"/>
  <c r="R24" i="9"/>
  <c r="M20" i="7"/>
  <c r="M47" i="7"/>
  <c r="P50" i="8"/>
  <c r="P50" i="9"/>
  <c r="P34" i="8"/>
  <c r="P34" i="9"/>
  <c r="P36" i="8"/>
  <c r="P36" i="9"/>
  <c r="P17" i="8"/>
  <c r="P17" i="9"/>
  <c r="P8" i="8"/>
  <c r="P8" i="9"/>
  <c r="P16" i="8"/>
  <c r="P16" i="9"/>
  <c r="O37" i="9"/>
  <c r="O51" i="9"/>
  <c r="O44" i="9"/>
  <c r="O28" i="9"/>
  <c r="O7" i="9"/>
  <c r="O19" i="9"/>
  <c r="W53" i="7"/>
  <c r="W58" i="7" s="1"/>
  <c r="W9" i="8" s="1"/>
  <c r="W5" i="9"/>
  <c r="W21" i="9"/>
  <c r="W25" i="9"/>
  <c r="W13" i="9"/>
  <c r="W20" i="9"/>
  <c r="W50" i="9"/>
  <c r="L36" i="8"/>
  <c r="L36" i="9"/>
  <c r="L25" i="9"/>
  <c r="L48" i="9"/>
  <c r="L49" i="9"/>
  <c r="L24" i="8"/>
  <c r="L24" i="9"/>
  <c r="L16" i="9"/>
  <c r="M36" i="7"/>
  <c r="M21" i="12"/>
  <c r="M21" i="13"/>
  <c r="M29" i="12"/>
  <c r="M29" i="13"/>
  <c r="M35" i="12"/>
  <c r="M35" i="13"/>
  <c r="M7" i="12"/>
  <c r="M7" i="13"/>
  <c r="Z53" i="8"/>
  <c r="Q12" i="9"/>
  <c r="Q38" i="9"/>
  <c r="Q42" i="9"/>
  <c r="Q18" i="9"/>
  <c r="Q29" i="9"/>
  <c r="Q15" i="9"/>
  <c r="U15" i="8"/>
  <c r="U15" i="9"/>
  <c r="U9" i="8"/>
  <c r="U9" i="9"/>
  <c r="U10" i="8"/>
  <c r="U10" i="9"/>
  <c r="U7" i="8"/>
  <c r="T7" i="23" s="1"/>
  <c r="T59" i="23" s="1"/>
  <c r="U7" i="9"/>
  <c r="U43" i="8"/>
  <c r="U43" i="9"/>
  <c r="U48" i="8"/>
  <c r="U48" i="9"/>
  <c r="X10" i="9"/>
  <c r="X7" i="9"/>
  <c r="X15" i="9"/>
  <c r="X28" i="9"/>
  <c r="X13" i="9"/>
  <c r="X50" i="9"/>
  <c r="AD38" i="7"/>
  <c r="AC38" i="9"/>
  <c r="AD38" i="9" s="1"/>
  <c r="AD22" i="7"/>
  <c r="AC22" i="9"/>
  <c r="AD22" i="9" s="1"/>
  <c r="AD23" i="7"/>
  <c r="AC23" i="9"/>
  <c r="AD23" i="9" s="1"/>
  <c r="AD50" i="7"/>
  <c r="AC50" i="9"/>
  <c r="AD50" i="9" s="1"/>
  <c r="AD5" i="7"/>
  <c r="AC53" i="7"/>
  <c r="AC58" i="7" s="1"/>
  <c r="AC33" i="8" s="1"/>
  <c r="AC5" i="9"/>
  <c r="AD19" i="7"/>
  <c r="AC19" i="9"/>
  <c r="AD19" i="9" s="1"/>
  <c r="S45" i="12"/>
  <c r="S45" i="13"/>
  <c r="S45" i="11"/>
  <c r="S45" i="10"/>
  <c r="R13" i="12"/>
  <c r="S13" i="11"/>
  <c r="R13" i="13"/>
  <c r="S13" i="13" s="1"/>
  <c r="R19" i="12"/>
  <c r="S19" i="11"/>
  <c r="R19" i="13"/>
  <c r="S19" i="13" s="1"/>
  <c r="R18" i="12"/>
  <c r="S18" i="11"/>
  <c r="R18" i="13"/>
  <c r="S18" i="13" s="1"/>
  <c r="R8" i="12"/>
  <c r="S8" i="12" s="1"/>
  <c r="S8" i="11"/>
  <c r="R8" i="13"/>
  <c r="S8" i="13" s="1"/>
  <c r="AH39" i="9"/>
  <c r="AH23" i="9"/>
  <c r="AH28" i="9"/>
  <c r="AH43" i="9"/>
  <c r="AH12" i="9"/>
  <c r="T15" i="11"/>
  <c r="T7" i="11"/>
  <c r="T5" i="11"/>
  <c r="T10" i="11"/>
  <c r="T8" i="11"/>
  <c r="T6" i="11"/>
  <c r="T29" i="11"/>
  <c r="T17" i="11"/>
  <c r="T9" i="11"/>
  <c r="T11" i="11"/>
  <c r="T28" i="11"/>
  <c r="T18" i="11"/>
  <c r="T31" i="11"/>
  <c r="T26" i="11"/>
  <c r="T16" i="11"/>
  <c r="T32" i="11"/>
  <c r="T25" i="11"/>
  <c r="T33" i="11"/>
  <c r="T27" i="11"/>
  <c r="T23" i="11"/>
  <c r="T34" i="11"/>
  <c r="T36" i="11"/>
  <c r="T13" i="11"/>
  <c r="T41" i="11"/>
  <c r="T40" i="11"/>
  <c r="T22" i="11"/>
  <c r="T12" i="11"/>
  <c r="T39" i="11"/>
  <c r="T30" i="11"/>
  <c r="T21" i="11"/>
  <c r="T38" i="11"/>
  <c r="T24" i="11"/>
  <c r="T20" i="11"/>
  <c r="T35" i="11"/>
  <c r="T37" i="11"/>
  <c r="T14" i="11"/>
  <c r="T19" i="11"/>
  <c r="AI47" i="9"/>
  <c r="AI11" i="8"/>
  <c r="AI11" i="9"/>
  <c r="AI19" i="9"/>
  <c r="AI49" i="9"/>
  <c r="AI28" i="9"/>
  <c r="R46" i="9"/>
  <c r="R43" i="9"/>
  <c r="R19" i="9"/>
  <c r="R17" i="9"/>
  <c r="R8" i="9"/>
  <c r="M45" i="7"/>
  <c r="M7" i="7"/>
  <c r="P41" i="8"/>
  <c r="P41" i="23" s="1"/>
  <c r="P93" i="23" s="1"/>
  <c r="P41" i="9"/>
  <c r="P30" i="8"/>
  <c r="P30" i="9"/>
  <c r="P35" i="8"/>
  <c r="P35" i="9"/>
  <c r="P20" i="8"/>
  <c r="P20" i="9"/>
  <c r="P15" i="8"/>
  <c r="P15" i="23" s="1"/>
  <c r="P67" i="23" s="1"/>
  <c r="P15" i="9"/>
  <c r="P26" i="8"/>
  <c r="P26" i="9"/>
  <c r="O42" i="9"/>
  <c r="O47" i="9"/>
  <c r="O40" i="9"/>
  <c r="O23" i="8"/>
  <c r="O23" i="23" s="1"/>
  <c r="O75" i="23" s="1"/>
  <c r="O23" i="9"/>
  <c r="O11" i="9"/>
  <c r="O6" i="9"/>
  <c r="W12" i="8"/>
  <c r="W12" i="9"/>
  <c r="W24" i="9"/>
  <c r="W28" i="9"/>
  <c r="W16" i="9"/>
  <c r="W30" i="9"/>
  <c r="W41" i="9"/>
  <c r="AA53" i="8"/>
  <c r="L11" i="9"/>
  <c r="L20" i="9"/>
  <c r="L47" i="9"/>
  <c r="L12" i="9"/>
  <c r="L8" i="9"/>
  <c r="L26" i="9"/>
  <c r="S53" i="7"/>
  <c r="M25" i="12"/>
  <c r="M25" i="13"/>
  <c r="M33" i="12"/>
  <c r="M33" i="13"/>
  <c r="M34" i="12"/>
  <c r="M34" i="13"/>
  <c r="M27" i="12"/>
  <c r="M27" i="13"/>
  <c r="Q46" i="9"/>
  <c r="Q25" i="9"/>
  <c r="Q48" i="9"/>
  <c r="Q32" i="9"/>
  <c r="Q10" i="9"/>
  <c r="Q5" i="9"/>
  <c r="Q53" i="7"/>
  <c r="Q58" i="7" s="1"/>
  <c r="Q41" i="8" s="1"/>
  <c r="Q41" i="23" s="1"/>
  <c r="Q93" i="23" s="1"/>
  <c r="U31" i="8"/>
  <c r="U31" i="9"/>
  <c r="U19" i="8"/>
  <c r="U19" i="9"/>
  <c r="U23" i="8"/>
  <c r="U23" i="9"/>
  <c r="U11" i="8"/>
  <c r="U11" i="9"/>
  <c r="U51" i="8"/>
  <c r="U51" i="9"/>
  <c r="U39" i="8"/>
  <c r="U39" i="9"/>
  <c r="X8" i="9"/>
  <c r="X11" i="9"/>
  <c r="X31" i="9"/>
  <c r="X38" i="9"/>
  <c r="X16" i="9"/>
  <c r="X39" i="9"/>
  <c r="AD44" i="7"/>
  <c r="AC44" i="9"/>
  <c r="AD44" i="9" s="1"/>
  <c r="AD36" i="7"/>
  <c r="AC36" i="9"/>
  <c r="AD36" i="9" s="1"/>
  <c r="AD41" i="7"/>
  <c r="AC41" i="9"/>
  <c r="AD41" i="9" s="1"/>
  <c r="AD30" i="7"/>
  <c r="AC30" i="9"/>
  <c r="AD30" i="9" s="1"/>
  <c r="AD12" i="7"/>
  <c r="AC12" i="9"/>
  <c r="AD12" i="9" s="1"/>
  <c r="AD14" i="7"/>
  <c r="AC14" i="9"/>
  <c r="AD14" i="9" s="1"/>
  <c r="R27" i="12"/>
  <c r="S27" i="11"/>
  <c r="R27" i="13"/>
  <c r="S27" i="13" s="1"/>
  <c r="R17" i="12"/>
  <c r="S17" i="11"/>
  <c r="R17" i="13"/>
  <c r="S17" i="13" s="1"/>
  <c r="R14" i="12"/>
  <c r="S14" i="12" s="1"/>
  <c r="S14" i="11"/>
  <c r="R14" i="13"/>
  <c r="S14" i="13" s="1"/>
  <c r="R10" i="12"/>
  <c r="S10" i="11"/>
  <c r="R10" i="13"/>
  <c r="S10" i="13" s="1"/>
  <c r="AH27" i="9"/>
  <c r="AH46" i="9"/>
  <c r="AH34" i="9"/>
  <c r="AH9" i="9"/>
  <c r="AH15" i="9"/>
  <c r="AH20" i="9"/>
  <c r="D35" i="5"/>
  <c r="N56" i="6"/>
  <c r="L26" i="8" l="1"/>
  <c r="L20" i="8"/>
  <c r="L13" i="8"/>
  <c r="L38" i="8"/>
  <c r="L28" i="8"/>
  <c r="L37" i="8"/>
  <c r="L49" i="8"/>
  <c r="L41" i="8"/>
  <c r="L39" i="8"/>
  <c r="M26" i="13"/>
  <c r="P45" i="8"/>
  <c r="P45" i="23" s="1"/>
  <c r="P97" i="23" s="1"/>
  <c r="L8" i="8"/>
  <c r="L11" i="8"/>
  <c r="L21" i="8"/>
  <c r="L7" i="8"/>
  <c r="L48" i="8"/>
  <c r="L27" i="8"/>
  <c r="L18" i="8"/>
  <c r="L33" i="8"/>
  <c r="P11" i="8"/>
  <c r="M10" i="13"/>
  <c r="L12" i="8"/>
  <c r="M14" i="12"/>
  <c r="L19" i="8"/>
  <c r="P44" i="23"/>
  <c r="P96" i="23" s="1"/>
  <c r="L17" i="8"/>
  <c r="L16" i="8"/>
  <c r="L16" i="23" s="1"/>
  <c r="L68" i="23" s="1"/>
  <c r="L25" i="8"/>
  <c r="L25" i="23" s="1"/>
  <c r="L77" i="23" s="1"/>
  <c r="M43" i="11"/>
  <c r="L45" i="8"/>
  <c r="L6" i="8"/>
  <c r="L42" i="8"/>
  <c r="U16" i="8"/>
  <c r="T16" i="23" s="1"/>
  <c r="T68" i="23" s="1"/>
  <c r="L47" i="8"/>
  <c r="V9" i="23"/>
  <c r="V61" i="23" s="1"/>
  <c r="L43" i="8"/>
  <c r="L43" i="23" s="1"/>
  <c r="L95" i="23" s="1"/>
  <c r="L14" i="8"/>
  <c r="L14" i="23" s="1"/>
  <c r="L66" i="23" s="1"/>
  <c r="L51" i="8"/>
  <c r="L51" i="23" s="1"/>
  <c r="L103" i="23" s="1"/>
  <c r="M33" i="24"/>
  <c r="M75" i="24" s="1"/>
  <c r="W41" i="8"/>
  <c r="P32" i="23"/>
  <c r="P84" i="23" s="1"/>
  <c r="L17" i="23"/>
  <c r="L69" i="23" s="1"/>
  <c r="AE36" i="23"/>
  <c r="AE88" i="23" s="1"/>
  <c r="M12" i="13"/>
  <c r="L26" i="23"/>
  <c r="L78" i="23" s="1"/>
  <c r="L13" i="23"/>
  <c r="L65" i="23" s="1"/>
  <c r="T30" i="23"/>
  <c r="T82" i="23" s="1"/>
  <c r="P25" i="23"/>
  <c r="P77" i="23" s="1"/>
  <c r="P42" i="23"/>
  <c r="P94" i="23" s="1"/>
  <c r="V12" i="23"/>
  <c r="V64" i="23" s="1"/>
  <c r="P19" i="23"/>
  <c r="P71" i="23" s="1"/>
  <c r="AE7" i="23"/>
  <c r="AE59" i="23" s="1"/>
  <c r="T29" i="23"/>
  <c r="T81" i="23" s="1"/>
  <c r="O7" i="25"/>
  <c r="O13" i="25" s="1"/>
  <c r="P30" i="23"/>
  <c r="P82" i="23" s="1"/>
  <c r="O15" i="25"/>
  <c r="T23" i="23"/>
  <c r="T75" i="23" s="1"/>
  <c r="O28" i="8"/>
  <c r="T37" i="23"/>
  <c r="T89" i="23" s="1"/>
  <c r="T32" i="23"/>
  <c r="T84" i="23" s="1"/>
  <c r="L9" i="23"/>
  <c r="L61" i="23" s="1"/>
  <c r="T49" i="23"/>
  <c r="T101" i="23" s="1"/>
  <c r="O14" i="8"/>
  <c r="O14" i="23" s="1"/>
  <c r="O66" i="23" s="1"/>
  <c r="O40" i="8"/>
  <c r="O40" i="23" s="1"/>
  <c r="O92" i="23" s="1"/>
  <c r="O21" i="8"/>
  <c r="O21" i="23" s="1"/>
  <c r="O73" i="23" s="1"/>
  <c r="O45" i="8"/>
  <c r="O17" i="8"/>
  <c r="O26" i="8"/>
  <c r="O26" i="23" s="1"/>
  <c r="O78" i="23" s="1"/>
  <c r="T39" i="23"/>
  <c r="T91" i="23" s="1"/>
  <c r="T19" i="23"/>
  <c r="T71" i="23" s="1"/>
  <c r="O44" i="8"/>
  <c r="T42" i="23"/>
  <c r="T94" i="23" s="1"/>
  <c r="T28" i="23"/>
  <c r="T80" i="23" s="1"/>
  <c r="L41" i="23"/>
  <c r="L93" i="23" s="1"/>
  <c r="M13" i="13"/>
  <c r="O27" i="8"/>
  <c r="P13" i="23"/>
  <c r="P65" i="23" s="1"/>
  <c r="O6" i="8"/>
  <c r="O47" i="8"/>
  <c r="T10" i="23"/>
  <c r="T62" i="23" s="1"/>
  <c r="L24" i="23"/>
  <c r="L76" i="23" s="1"/>
  <c r="L36" i="23"/>
  <c r="L88" i="23" s="1"/>
  <c r="L38" i="23"/>
  <c r="L90" i="23" s="1"/>
  <c r="O38" i="8"/>
  <c r="O38" i="23" s="1"/>
  <c r="O90" i="23" s="1"/>
  <c r="O41" i="8"/>
  <c r="O41" i="23" s="1"/>
  <c r="O93" i="23" s="1"/>
  <c r="O22" i="8"/>
  <c r="O22" i="23" s="1"/>
  <c r="O74" i="23" s="1"/>
  <c r="L23" i="8"/>
  <c r="L23" i="23" s="1"/>
  <c r="L75" i="23" s="1"/>
  <c r="L34" i="8"/>
  <c r="L34" i="23" s="1"/>
  <c r="L86" i="23" s="1"/>
  <c r="O25" i="8"/>
  <c r="L47" i="23"/>
  <c r="L99" i="23" s="1"/>
  <c r="O19" i="8"/>
  <c r="O19" i="23" s="1"/>
  <c r="O71" i="23" s="1"/>
  <c r="O51" i="8"/>
  <c r="O51" i="23" s="1"/>
  <c r="O103" i="23" s="1"/>
  <c r="P17" i="23"/>
  <c r="P69" i="23" s="1"/>
  <c r="T34" i="23"/>
  <c r="T86" i="23" s="1"/>
  <c r="O34" i="8"/>
  <c r="O34" i="23" s="1"/>
  <c r="O86" i="23" s="1"/>
  <c r="P39" i="23"/>
  <c r="P91" i="23" s="1"/>
  <c r="P51" i="23"/>
  <c r="P103" i="23" s="1"/>
  <c r="Q5" i="24"/>
  <c r="Q47" i="24" s="1"/>
  <c r="O33" i="8"/>
  <c r="O11" i="8"/>
  <c r="O11" i="23" s="1"/>
  <c r="O63" i="23" s="1"/>
  <c r="O42" i="8"/>
  <c r="O42" i="23" s="1"/>
  <c r="O94" i="23" s="1"/>
  <c r="O9" i="8"/>
  <c r="O24" i="8"/>
  <c r="O39" i="8"/>
  <c r="O39" i="23" s="1"/>
  <c r="O91" i="23" s="1"/>
  <c r="O12" i="8"/>
  <c r="O12" i="23" s="1"/>
  <c r="O64" i="23" s="1"/>
  <c r="M9" i="13"/>
  <c r="O7" i="8"/>
  <c r="O37" i="8"/>
  <c r="T12" i="23"/>
  <c r="T64" i="23" s="1"/>
  <c r="X39" i="8"/>
  <c r="W39" i="23" s="1"/>
  <c r="W91" i="23" s="1"/>
  <c r="X11" i="8"/>
  <c r="W11" i="23" s="1"/>
  <c r="W63" i="23" s="1"/>
  <c r="T11" i="23"/>
  <c r="T63" i="23" s="1"/>
  <c r="P35" i="23"/>
  <c r="P87" i="23" s="1"/>
  <c r="AE11" i="23"/>
  <c r="AE63" i="23" s="1"/>
  <c r="X15" i="8"/>
  <c r="W15" i="23" s="1"/>
  <c r="W67" i="23" s="1"/>
  <c r="T43" i="23"/>
  <c r="T95" i="23" s="1"/>
  <c r="T15" i="23"/>
  <c r="T67" i="23" s="1"/>
  <c r="L48" i="23"/>
  <c r="L100" i="23" s="1"/>
  <c r="W20" i="8"/>
  <c r="V20" i="23" s="1"/>
  <c r="V72" i="23" s="1"/>
  <c r="S20" i="12"/>
  <c r="Q20" i="24"/>
  <c r="Q62" i="24" s="1"/>
  <c r="X25" i="8"/>
  <c r="W25" i="23" s="1"/>
  <c r="W77" i="23" s="1"/>
  <c r="L19" i="23"/>
  <c r="L71" i="23" s="1"/>
  <c r="O20" i="23"/>
  <c r="O72" i="23" s="1"/>
  <c r="O49" i="23"/>
  <c r="O101" i="23" s="1"/>
  <c r="P31" i="23"/>
  <c r="P83" i="23" s="1"/>
  <c r="O13" i="23"/>
  <c r="O65" i="23" s="1"/>
  <c r="P40" i="23"/>
  <c r="P92" i="23" s="1"/>
  <c r="X48" i="8"/>
  <c r="W48" i="23" s="1"/>
  <c r="W100" i="23" s="1"/>
  <c r="O17" i="23"/>
  <c r="O69" i="23" s="1"/>
  <c r="P37" i="23"/>
  <c r="P89" i="23" s="1"/>
  <c r="O31" i="8"/>
  <c r="O31" i="23" s="1"/>
  <c r="O83" i="23" s="1"/>
  <c r="X47" i="8"/>
  <c r="W47" i="23" s="1"/>
  <c r="W99" i="23" s="1"/>
  <c r="M24" i="24"/>
  <c r="M66" i="24" s="1"/>
  <c r="M32" i="24"/>
  <c r="M74" i="24" s="1"/>
  <c r="M16" i="24"/>
  <c r="M58" i="24" s="1"/>
  <c r="M29" i="24"/>
  <c r="M71" i="24" s="1"/>
  <c r="S27" i="12"/>
  <c r="Q27" i="24"/>
  <c r="Q69" i="24" s="1"/>
  <c r="L20" i="23"/>
  <c r="L72" i="23" s="1"/>
  <c r="S18" i="12"/>
  <c r="Q18" i="24"/>
  <c r="Q60" i="24" s="1"/>
  <c r="O7" i="23"/>
  <c r="O59" i="23" s="1"/>
  <c r="O37" i="23"/>
  <c r="O89" i="23" s="1"/>
  <c r="P36" i="23"/>
  <c r="P88" i="23" s="1"/>
  <c r="AE16" i="23"/>
  <c r="AE68" i="23" s="1"/>
  <c r="T8" i="23"/>
  <c r="T60" i="23" s="1"/>
  <c r="S9" i="12"/>
  <c r="Q9" i="24"/>
  <c r="Q51" i="24" s="1"/>
  <c r="X24" i="8"/>
  <c r="W24" i="23" s="1"/>
  <c r="W76" i="23" s="1"/>
  <c r="S26" i="12"/>
  <c r="Q26" i="24"/>
  <c r="Q68" i="24" s="1"/>
  <c r="T20" i="23"/>
  <c r="T72" i="23" s="1"/>
  <c r="S30" i="12"/>
  <c r="Q30" i="24"/>
  <c r="Q72" i="24" s="1"/>
  <c r="U50" i="8"/>
  <c r="T50" i="23" s="1"/>
  <c r="T102" i="23" s="1"/>
  <c r="P11" i="23"/>
  <c r="P63" i="23" s="1"/>
  <c r="Q24" i="24"/>
  <c r="Q66" i="24" s="1"/>
  <c r="S13" i="12"/>
  <c r="Q13" i="24"/>
  <c r="Q55" i="24" s="1"/>
  <c r="S40" i="12"/>
  <c r="Q40" i="24"/>
  <c r="Q82" i="24" s="1"/>
  <c r="X50" i="8"/>
  <c r="W50" i="23" s="1"/>
  <c r="W102" i="23" s="1"/>
  <c r="X7" i="8"/>
  <c r="W7" i="23" s="1"/>
  <c r="W59" i="23" s="1"/>
  <c r="X37" i="8"/>
  <c r="W37" i="23" s="1"/>
  <c r="W89" i="23" s="1"/>
  <c r="P38" i="23"/>
  <c r="P90" i="23" s="1"/>
  <c r="O45" i="23"/>
  <c r="O97" i="23" s="1"/>
  <c r="S41" i="12"/>
  <c r="Q41" i="24"/>
  <c r="Q83" i="24" s="1"/>
  <c r="X22" i="8"/>
  <c r="W22" i="23" s="1"/>
  <c r="W74" i="23" s="1"/>
  <c r="S35" i="12"/>
  <c r="Q35" i="24"/>
  <c r="Q77" i="24" s="1"/>
  <c r="Q39" i="8"/>
  <c r="Q39" i="23" s="1"/>
  <c r="Q91" i="23" s="1"/>
  <c r="S25" i="12"/>
  <c r="Q25" i="24"/>
  <c r="Q67" i="24" s="1"/>
  <c r="U5" i="8"/>
  <c r="T5" i="23" s="1"/>
  <c r="T57" i="23" s="1"/>
  <c r="U46" i="8"/>
  <c r="T46" i="23" s="1"/>
  <c r="T98" i="23" s="1"/>
  <c r="Q28" i="24"/>
  <c r="Q70" i="24" s="1"/>
  <c r="Q33" i="24"/>
  <c r="Q75" i="24" s="1"/>
  <c r="X16" i="8"/>
  <c r="W16" i="23" s="1"/>
  <c r="W68" i="23" s="1"/>
  <c r="X8" i="8"/>
  <c r="W8" i="23" s="1"/>
  <c r="W60" i="23" s="1"/>
  <c r="AC36" i="8"/>
  <c r="Q32" i="8"/>
  <c r="Q32" i="23" s="1"/>
  <c r="Q84" i="23" s="1"/>
  <c r="L8" i="23"/>
  <c r="L60" i="23" s="1"/>
  <c r="L11" i="23"/>
  <c r="L63" i="23" s="1"/>
  <c r="O28" i="23"/>
  <c r="O80" i="23" s="1"/>
  <c r="P16" i="23"/>
  <c r="P68" i="23" s="1"/>
  <c r="P34" i="23"/>
  <c r="P86" i="23" s="1"/>
  <c r="S21" i="12"/>
  <c r="Q21" i="24"/>
  <c r="Q63" i="24" s="1"/>
  <c r="T36" i="23"/>
  <c r="T88" i="23" s="1"/>
  <c r="T13" i="23"/>
  <c r="T65" i="23" s="1"/>
  <c r="L27" i="23"/>
  <c r="L79" i="23" s="1"/>
  <c r="L18" i="23"/>
  <c r="L70" i="23" s="1"/>
  <c r="X44" i="8"/>
  <c r="W44" i="23" s="1"/>
  <c r="W96" i="23" s="1"/>
  <c r="L28" i="23"/>
  <c r="L80" i="23" s="1"/>
  <c r="L37" i="23"/>
  <c r="L89" i="23" s="1"/>
  <c r="O32" i="8"/>
  <c r="O32" i="23" s="1"/>
  <c r="O84" i="23" s="1"/>
  <c r="P18" i="23"/>
  <c r="P70" i="23" s="1"/>
  <c r="P43" i="23"/>
  <c r="P95" i="23" s="1"/>
  <c r="S15" i="12"/>
  <c r="Q15" i="24"/>
  <c r="Q57" i="24" s="1"/>
  <c r="T26" i="23"/>
  <c r="T78" i="23" s="1"/>
  <c r="L39" i="23"/>
  <c r="L91" i="23" s="1"/>
  <c r="U18" i="8"/>
  <c r="T18" i="23" s="1"/>
  <c r="T70" i="23" s="1"/>
  <c r="S37" i="12"/>
  <c r="Q37" i="24"/>
  <c r="Q79" i="24" s="1"/>
  <c r="Q14" i="24"/>
  <c r="Q56" i="24" s="1"/>
  <c r="S19" i="12"/>
  <c r="Q19" i="24"/>
  <c r="Q61" i="24" s="1"/>
  <c r="X13" i="8"/>
  <c r="W13" i="23" s="1"/>
  <c r="W65" i="23" s="1"/>
  <c r="X10" i="8"/>
  <c r="W10" i="23" s="1"/>
  <c r="W62" i="23" s="1"/>
  <c r="X42" i="8"/>
  <c r="W42" i="23" s="1"/>
  <c r="W94" i="23" s="1"/>
  <c r="X36" i="8"/>
  <c r="W36" i="23" s="1"/>
  <c r="W88" i="23" s="1"/>
  <c r="X51" i="8"/>
  <c r="W51" i="23" s="1"/>
  <c r="W103" i="23" s="1"/>
  <c r="X34" i="8"/>
  <c r="W34" i="23" s="1"/>
  <c r="W86" i="23" s="1"/>
  <c r="S23" i="12"/>
  <c r="Q23" i="24"/>
  <c r="Q65" i="24" s="1"/>
  <c r="S38" i="12"/>
  <c r="Q38" i="24"/>
  <c r="Q80" i="24" s="1"/>
  <c r="W42" i="8"/>
  <c r="V42" i="23" s="1"/>
  <c r="V94" i="23" s="1"/>
  <c r="AD33" i="8"/>
  <c r="AA33" i="23"/>
  <c r="AA85" i="23" s="1"/>
  <c r="AC12" i="8"/>
  <c r="S17" i="12"/>
  <c r="Q17" i="24"/>
  <c r="Q59" i="24" s="1"/>
  <c r="L12" i="23"/>
  <c r="L64" i="23" s="1"/>
  <c r="O44" i="23"/>
  <c r="O96" i="23" s="1"/>
  <c r="P8" i="23"/>
  <c r="P60" i="23" s="1"/>
  <c r="P50" i="23"/>
  <c r="P102" i="23" s="1"/>
  <c r="S31" i="12"/>
  <c r="Q31" i="24"/>
  <c r="Q73" i="24" s="1"/>
  <c r="T47" i="23"/>
  <c r="T99" i="23" s="1"/>
  <c r="AE30" i="23"/>
  <c r="AE82" i="23" s="1"/>
  <c r="L45" i="23"/>
  <c r="L97" i="23" s="1"/>
  <c r="S11" i="12"/>
  <c r="Q11" i="24"/>
  <c r="Q53" i="24" s="1"/>
  <c r="T33" i="23"/>
  <c r="T85" i="23" s="1"/>
  <c r="L6" i="23"/>
  <c r="L58" i="23" s="1"/>
  <c r="L42" i="23"/>
  <c r="L94" i="23" s="1"/>
  <c r="S34" i="12"/>
  <c r="Q34" i="24"/>
  <c r="Q76" i="24" s="1"/>
  <c r="T44" i="23"/>
  <c r="T96" i="23" s="1"/>
  <c r="T25" i="23"/>
  <c r="T77" i="23" s="1"/>
  <c r="L7" i="23"/>
  <c r="L59" i="23" s="1"/>
  <c r="O27" i="23"/>
  <c r="O79" i="23" s="1"/>
  <c r="P10" i="23"/>
  <c r="P62" i="23" s="1"/>
  <c r="T41" i="23"/>
  <c r="T93" i="23" s="1"/>
  <c r="T22" i="23"/>
  <c r="T74" i="23" s="1"/>
  <c r="L33" i="23"/>
  <c r="L85" i="23" s="1"/>
  <c r="U17" i="8"/>
  <c r="T17" i="23" s="1"/>
  <c r="T69" i="23" s="1"/>
  <c r="L5" i="8"/>
  <c r="L5" i="23" s="1"/>
  <c r="L57" i="23" s="1"/>
  <c r="S10" i="12"/>
  <c r="Q10" i="24"/>
  <c r="Q52" i="24" s="1"/>
  <c r="X38" i="8"/>
  <c r="W38" i="23" s="1"/>
  <c r="W90" i="23" s="1"/>
  <c r="X31" i="8"/>
  <c r="W31" i="23" s="1"/>
  <c r="W83" i="23" s="1"/>
  <c r="T51" i="23"/>
  <c r="T103" i="23" s="1"/>
  <c r="T31" i="23"/>
  <c r="T83" i="23" s="1"/>
  <c r="M25" i="24"/>
  <c r="M67" i="24" s="1"/>
  <c r="V41" i="23"/>
  <c r="V93" i="23" s="1"/>
  <c r="O6" i="23"/>
  <c r="O58" i="23" s="1"/>
  <c r="O47" i="23"/>
  <c r="O99" i="23" s="1"/>
  <c r="P20" i="23"/>
  <c r="P72" i="23" s="1"/>
  <c r="X28" i="8"/>
  <c r="W28" i="23" s="1"/>
  <c r="W80" i="23" s="1"/>
  <c r="T48" i="23"/>
  <c r="T100" i="23" s="1"/>
  <c r="T9" i="23"/>
  <c r="T61" i="23" s="1"/>
  <c r="L49" i="23"/>
  <c r="L101" i="23" s="1"/>
  <c r="W50" i="8"/>
  <c r="V50" i="23" s="1"/>
  <c r="V102" i="23" s="1"/>
  <c r="AD32" i="23"/>
  <c r="AD84" i="23" s="1"/>
  <c r="AC31" i="8"/>
  <c r="X6" i="8"/>
  <c r="W6" i="23" s="1"/>
  <c r="W58" i="23" s="1"/>
  <c r="L21" i="23"/>
  <c r="L73" i="23" s="1"/>
  <c r="O9" i="23"/>
  <c r="O61" i="23" s="1"/>
  <c r="O24" i="23"/>
  <c r="O76" i="23" s="1"/>
  <c r="P14" i="23"/>
  <c r="P66" i="23" s="1"/>
  <c r="P7" i="23"/>
  <c r="P59" i="23" s="1"/>
  <c r="S22" i="12"/>
  <c r="Q22" i="24"/>
  <c r="Q64" i="24" s="1"/>
  <c r="X23" i="8"/>
  <c r="W23" i="23" s="1"/>
  <c r="W75" i="23" s="1"/>
  <c r="X33" i="8"/>
  <c r="W33" i="23" s="1"/>
  <c r="W85" i="23" s="1"/>
  <c r="O25" i="23"/>
  <c r="O77" i="23" s="1"/>
  <c r="O33" i="23"/>
  <c r="O85" i="23" s="1"/>
  <c r="X35" i="8"/>
  <c r="W35" i="23" s="1"/>
  <c r="W87" i="23" s="1"/>
  <c r="S6" i="12"/>
  <c r="Q6" i="24"/>
  <c r="Q48" i="24" s="1"/>
  <c r="G9" i="26" s="1"/>
  <c r="S7" i="12"/>
  <c r="Q7" i="24"/>
  <c r="Q49" i="24" s="1"/>
  <c r="Q8" i="24"/>
  <c r="Q50" i="24" s="1"/>
  <c r="Q36" i="24"/>
  <c r="Q78" i="24" s="1"/>
  <c r="Q12" i="24"/>
  <c r="Q54" i="24" s="1"/>
  <c r="Q32" i="24"/>
  <c r="Q74" i="24" s="1"/>
  <c r="M17" i="24"/>
  <c r="M59" i="24" s="1"/>
  <c r="M6" i="24"/>
  <c r="M48" i="24" s="1"/>
  <c r="M18" i="24"/>
  <c r="M60" i="24" s="1"/>
  <c r="M35" i="24"/>
  <c r="M77" i="24" s="1"/>
  <c r="M22" i="24"/>
  <c r="M64" i="24" s="1"/>
  <c r="M39" i="24"/>
  <c r="M81" i="24" s="1"/>
  <c r="M31" i="24"/>
  <c r="M73" i="24" s="1"/>
  <c r="M15" i="24"/>
  <c r="M57" i="24" s="1"/>
  <c r="M7" i="24"/>
  <c r="M49" i="24" s="1"/>
  <c r="M27" i="24"/>
  <c r="M69" i="24" s="1"/>
  <c r="M26" i="24"/>
  <c r="M68" i="24" s="1"/>
  <c r="M9" i="24"/>
  <c r="M51" i="24" s="1"/>
  <c r="M13" i="24"/>
  <c r="M55" i="24" s="1"/>
  <c r="M14" i="24"/>
  <c r="M56" i="24" s="1"/>
  <c r="Q16" i="24"/>
  <c r="Q58" i="24" s="1"/>
  <c r="M34" i="24"/>
  <c r="M76" i="24" s="1"/>
  <c r="M12" i="24"/>
  <c r="M54" i="24" s="1"/>
  <c r="M30" i="24"/>
  <c r="M72" i="24" s="1"/>
  <c r="M20" i="24"/>
  <c r="M62" i="24" s="1"/>
  <c r="M36" i="24"/>
  <c r="M78" i="24" s="1"/>
  <c r="Q39" i="24"/>
  <c r="Q81" i="24" s="1"/>
  <c r="P15" i="25"/>
  <c r="M41" i="24"/>
  <c r="M83" i="24" s="1"/>
  <c r="M28" i="24"/>
  <c r="M70" i="24" s="1"/>
  <c r="M11" i="24"/>
  <c r="M53" i="24" s="1"/>
  <c r="M38" i="24"/>
  <c r="M80" i="24" s="1"/>
  <c r="Q29" i="24"/>
  <c r="Q71" i="24" s="1"/>
  <c r="P5" i="8"/>
  <c r="P5" i="23" s="1"/>
  <c r="P57" i="23" s="1"/>
  <c r="M10" i="24"/>
  <c r="M52" i="24" s="1"/>
  <c r="M37" i="24"/>
  <c r="M79" i="24" s="1"/>
  <c r="M8" i="24"/>
  <c r="M50" i="24" s="1"/>
  <c r="M5" i="24"/>
  <c r="M47" i="24" s="1"/>
  <c r="M19" i="24"/>
  <c r="M61" i="24" s="1"/>
  <c r="M40" i="24"/>
  <c r="M82" i="24" s="1"/>
  <c r="M23" i="24"/>
  <c r="M65" i="24" s="1"/>
  <c r="M21" i="24"/>
  <c r="M63" i="24" s="1"/>
  <c r="P14" i="25"/>
  <c r="O14" i="25"/>
  <c r="P13" i="25"/>
  <c r="W24" i="8"/>
  <c r="V24" i="23" s="1"/>
  <c r="V76" i="23" s="1"/>
  <c r="X21" i="8"/>
  <c r="W21" i="23" s="1"/>
  <c r="W73" i="23" s="1"/>
  <c r="P6" i="8"/>
  <c r="P6" i="23" s="1"/>
  <c r="P58" i="23" s="1"/>
  <c r="Q22" i="8"/>
  <c r="Q22" i="23" s="1"/>
  <c r="Q74" i="23" s="1"/>
  <c r="Q34" i="8"/>
  <c r="Q34" i="23" s="1"/>
  <c r="Q86" i="23" s="1"/>
  <c r="L22" i="8"/>
  <c r="L22" i="23" s="1"/>
  <c r="L74" i="23" s="1"/>
  <c r="L46" i="8"/>
  <c r="L46" i="23" s="1"/>
  <c r="L98" i="23" s="1"/>
  <c r="Q45" i="8"/>
  <c r="Q45" i="23" s="1"/>
  <c r="Q97" i="23" s="1"/>
  <c r="Q46" i="8"/>
  <c r="Q46" i="23" s="1"/>
  <c r="Q98" i="23" s="1"/>
  <c r="O8" i="8"/>
  <c r="O8" i="23" s="1"/>
  <c r="O60" i="23" s="1"/>
  <c r="L40" i="8"/>
  <c r="L40" i="23" s="1"/>
  <c r="L92" i="23" s="1"/>
  <c r="P47" i="8"/>
  <c r="P47" i="23" s="1"/>
  <c r="P99" i="23" s="1"/>
  <c r="AC45" i="8"/>
  <c r="W34" i="8"/>
  <c r="V34" i="23" s="1"/>
  <c r="V86" i="23" s="1"/>
  <c r="AH9" i="8"/>
  <c r="AD9" i="23" s="1"/>
  <c r="AD61" i="23" s="1"/>
  <c r="W21" i="8"/>
  <c r="V21" i="23" s="1"/>
  <c r="V73" i="23" s="1"/>
  <c r="X12" i="8"/>
  <c r="W12" i="23" s="1"/>
  <c r="W64" i="23" s="1"/>
  <c r="X32" i="8"/>
  <c r="W32" i="23" s="1"/>
  <c r="W84" i="23" s="1"/>
  <c r="L50" i="8"/>
  <c r="L50" i="23" s="1"/>
  <c r="L102" i="23" s="1"/>
  <c r="Q10" i="8"/>
  <c r="Q10" i="23" s="1"/>
  <c r="Q62" i="23" s="1"/>
  <c r="W30" i="8"/>
  <c r="V30" i="23" s="1"/>
  <c r="V82" i="23" s="1"/>
  <c r="W8" i="8"/>
  <c r="V8" i="23" s="1"/>
  <c r="V60" i="23" s="1"/>
  <c r="P12" i="8"/>
  <c r="P12" i="23" s="1"/>
  <c r="P64" i="23" s="1"/>
  <c r="X18" i="8"/>
  <c r="W18" i="23" s="1"/>
  <c r="W70" i="23" s="1"/>
  <c r="Q14" i="8"/>
  <c r="Q14" i="23" s="1"/>
  <c r="Q66" i="23" s="1"/>
  <c r="P22" i="8"/>
  <c r="P46" i="8"/>
  <c r="P46" i="23" s="1"/>
  <c r="P98" i="23" s="1"/>
  <c r="U35" i="8"/>
  <c r="T35" i="23" s="1"/>
  <c r="T87" i="23" s="1"/>
  <c r="AC48" i="8"/>
  <c r="AC32" i="8"/>
  <c r="L15" i="8"/>
  <c r="L15" i="23" s="1"/>
  <c r="L67" i="23" s="1"/>
  <c r="L31" i="8"/>
  <c r="L31" i="23" s="1"/>
  <c r="L83" i="23" s="1"/>
  <c r="Q51" i="8"/>
  <c r="Q51" i="23" s="1"/>
  <c r="Q103" i="23" s="1"/>
  <c r="L29" i="8"/>
  <c r="L29" i="23" s="1"/>
  <c r="L81" i="23" s="1"/>
  <c r="AC5" i="8"/>
  <c r="AA5" i="23" s="1"/>
  <c r="AA57" i="23" s="1"/>
  <c r="W5" i="8"/>
  <c r="V5" i="23" s="1"/>
  <c r="V57" i="23" s="1"/>
  <c r="Q19" i="8"/>
  <c r="Q19" i="23" s="1"/>
  <c r="Q71" i="23" s="1"/>
  <c r="M31" i="9"/>
  <c r="V28" i="9"/>
  <c r="N40" i="12"/>
  <c r="N40" i="13"/>
  <c r="U13" i="12"/>
  <c r="S13" i="24" s="1"/>
  <c r="S55" i="24" s="1"/>
  <c r="U13" i="13"/>
  <c r="AI32" i="8"/>
  <c r="AE32" i="23" s="1"/>
  <c r="AE84" i="23" s="1"/>
  <c r="Z29" i="12"/>
  <c r="AA29" i="12" s="1"/>
  <c r="AA29" i="11"/>
  <c r="Z29" i="13"/>
  <c r="AA29" i="13" s="1"/>
  <c r="M28" i="9"/>
  <c r="W38" i="11"/>
  <c r="T38" i="12"/>
  <c r="T38" i="13"/>
  <c r="W13" i="11"/>
  <c r="T13" i="12"/>
  <c r="T13" i="13"/>
  <c r="W16" i="11"/>
  <c r="T16" i="12"/>
  <c r="T16" i="13"/>
  <c r="W29" i="11"/>
  <c r="T29" i="12"/>
  <c r="T29" i="13"/>
  <c r="AD53" i="7"/>
  <c r="Q18" i="8"/>
  <c r="Q18" i="23" s="1"/>
  <c r="Q70" i="23" s="1"/>
  <c r="M36" i="9"/>
  <c r="P23" i="12"/>
  <c r="P23" i="13"/>
  <c r="P11" i="12"/>
  <c r="P11" i="13"/>
  <c r="P14" i="12"/>
  <c r="P14" i="13"/>
  <c r="P8" i="12"/>
  <c r="P8" i="13"/>
  <c r="P9" i="12"/>
  <c r="P9" i="13"/>
  <c r="M9" i="9"/>
  <c r="AH5" i="8"/>
  <c r="AD5" i="23" s="1"/>
  <c r="AD57" i="23" s="1"/>
  <c r="AH48" i="8"/>
  <c r="AD48" i="23" s="1"/>
  <c r="AD100" i="23" s="1"/>
  <c r="M43" i="12"/>
  <c r="M23" i="9"/>
  <c r="W17" i="8"/>
  <c r="V17" i="23" s="1"/>
  <c r="V69" i="23" s="1"/>
  <c r="M22" i="9"/>
  <c r="V7" i="9"/>
  <c r="V8" i="9"/>
  <c r="V38" i="9"/>
  <c r="V16" i="9"/>
  <c r="V17" i="9"/>
  <c r="V43" i="9"/>
  <c r="AI45" i="8"/>
  <c r="AE45" i="23" s="1"/>
  <c r="AE97" i="23" s="1"/>
  <c r="AH33" i="8"/>
  <c r="AD33" i="23" s="1"/>
  <c r="AD85" i="23" s="1"/>
  <c r="AC13" i="8"/>
  <c r="Q16" i="8"/>
  <c r="Q16" i="23" s="1"/>
  <c r="Q68" i="23" s="1"/>
  <c r="Q20" i="8"/>
  <c r="Q20" i="23" s="1"/>
  <c r="Q72" i="23" s="1"/>
  <c r="W49" i="8"/>
  <c r="V49" i="23" s="1"/>
  <c r="V101" i="23" s="1"/>
  <c r="W43" i="8"/>
  <c r="V43" i="23" s="1"/>
  <c r="V95" i="23" s="1"/>
  <c r="N29" i="12"/>
  <c r="N29" i="13"/>
  <c r="N26" i="12"/>
  <c r="N26" i="13"/>
  <c r="N38" i="12"/>
  <c r="N38" i="13"/>
  <c r="N24" i="12"/>
  <c r="N24" i="13"/>
  <c r="N15" i="12"/>
  <c r="N15" i="13"/>
  <c r="W38" i="8"/>
  <c r="V38" i="23" s="1"/>
  <c r="V90" i="23" s="1"/>
  <c r="U37" i="12"/>
  <c r="U37" i="13"/>
  <c r="U19" i="12"/>
  <c r="U19" i="13"/>
  <c r="U33" i="12"/>
  <c r="S33" i="24" s="1"/>
  <c r="S75" i="24" s="1"/>
  <c r="U33" i="13"/>
  <c r="U14" i="12"/>
  <c r="U14" i="13"/>
  <c r="U9" i="12"/>
  <c r="U9" i="13"/>
  <c r="AH8" i="8"/>
  <c r="AD8" i="23" s="1"/>
  <c r="AD60" i="23" s="1"/>
  <c r="AH41" i="8"/>
  <c r="AD41" i="23" s="1"/>
  <c r="AD93" i="23" s="1"/>
  <c r="AC39" i="8"/>
  <c r="Q7" i="8"/>
  <c r="Q7" i="23" s="1"/>
  <c r="Q59" i="23" s="1"/>
  <c r="W46" i="8"/>
  <c r="V46" i="23" s="1"/>
  <c r="V98" i="23" s="1"/>
  <c r="W27" i="8"/>
  <c r="V27" i="23" s="1"/>
  <c r="V79" i="23" s="1"/>
  <c r="M11" i="9"/>
  <c r="O12" i="12"/>
  <c r="O12" i="13"/>
  <c r="O40" i="12"/>
  <c r="O40" i="13"/>
  <c r="O31" i="12"/>
  <c r="O31" i="13"/>
  <c r="O8" i="13"/>
  <c r="O8" i="12"/>
  <c r="AI53" i="9"/>
  <c r="AH16" i="8"/>
  <c r="AD16" i="23" s="1"/>
  <c r="AD68" i="23" s="1"/>
  <c r="AH22" i="8"/>
  <c r="AD22" i="23" s="1"/>
  <c r="AD74" i="23" s="1"/>
  <c r="X20" i="8"/>
  <c r="W20" i="23" s="1"/>
  <c r="W72" i="23" s="1"/>
  <c r="V18" i="12"/>
  <c r="V18" i="13"/>
  <c r="V24" i="12"/>
  <c r="V24" i="13"/>
  <c r="V17" i="12"/>
  <c r="T17" i="24" s="1"/>
  <c r="T59" i="24" s="1"/>
  <c r="V17" i="13"/>
  <c r="V22" i="12"/>
  <c r="V22" i="13"/>
  <c r="V6" i="12"/>
  <c r="V6" i="13"/>
  <c r="W44" i="8"/>
  <c r="V44" i="23" s="1"/>
  <c r="V96" i="23" s="1"/>
  <c r="Y16" i="7"/>
  <c r="Y19" i="7"/>
  <c r="Y9" i="7"/>
  <c r="Y25" i="7"/>
  <c r="Y12" i="7"/>
  <c r="Y15" i="7"/>
  <c r="Y8" i="7"/>
  <c r="Y18" i="7"/>
  <c r="Y11" i="7"/>
  <c r="Y7" i="7"/>
  <c r="Y20" i="7"/>
  <c r="Y17" i="7"/>
  <c r="Y14" i="7"/>
  <c r="Y10" i="7"/>
  <c r="Y5" i="7"/>
  <c r="Y13" i="7"/>
  <c r="Y6" i="7"/>
  <c r="Y39" i="7"/>
  <c r="Y51" i="7"/>
  <c r="Y21" i="7"/>
  <c r="Y47" i="7"/>
  <c r="Y29" i="7"/>
  <c r="Y26" i="7"/>
  <c r="Y30" i="7"/>
  <c r="Y23" i="7"/>
  <c r="Y24" i="7"/>
  <c r="Y34" i="7"/>
  <c r="Y38" i="7"/>
  <c r="Y32" i="7"/>
  <c r="Y33" i="7"/>
  <c r="Y42" i="7"/>
  <c r="Y46" i="7"/>
  <c r="Y40" i="7"/>
  <c r="AB40" i="7" s="1"/>
  <c r="Y41" i="7"/>
  <c r="Y50" i="7"/>
  <c r="Y48" i="7"/>
  <c r="Y49" i="7"/>
  <c r="Y27" i="7"/>
  <c r="Y36" i="7"/>
  <c r="Y22" i="7"/>
  <c r="Y37" i="7"/>
  <c r="AB37" i="7" s="1"/>
  <c r="Y35" i="7"/>
  <c r="Y44" i="7"/>
  <c r="Y43" i="7"/>
  <c r="Y45" i="7"/>
  <c r="Y28" i="7"/>
  <c r="Y31" i="7"/>
  <c r="AC25" i="8"/>
  <c r="L44" i="8"/>
  <c r="L44" i="23" s="1"/>
  <c r="L96" i="23" s="1"/>
  <c r="W51" i="8"/>
  <c r="V51" i="23" s="1"/>
  <c r="V103" i="23" s="1"/>
  <c r="W37" i="8"/>
  <c r="V37" i="23" s="1"/>
  <c r="V89" i="23" s="1"/>
  <c r="O10" i="8"/>
  <c r="O10" i="23" s="1"/>
  <c r="O62" i="23" s="1"/>
  <c r="Z27" i="12"/>
  <c r="AA27" i="12" s="1"/>
  <c r="AA27" i="11"/>
  <c r="Z27" i="13"/>
  <c r="AA27" i="13" s="1"/>
  <c r="AA34" i="11"/>
  <c r="Z34" i="12"/>
  <c r="AA34" i="12" s="1"/>
  <c r="Z34" i="13"/>
  <c r="AA34" i="13" s="1"/>
  <c r="AA39" i="11"/>
  <c r="Z39" i="12"/>
  <c r="AA39" i="12" s="1"/>
  <c r="Z39" i="13"/>
  <c r="AA39" i="13" s="1"/>
  <c r="AA35" i="11"/>
  <c r="Z35" i="12"/>
  <c r="AA35" i="12" s="1"/>
  <c r="Z35" i="13"/>
  <c r="AA35" i="13" s="1"/>
  <c r="AA5" i="11"/>
  <c r="Z5" i="12"/>
  <c r="Z5" i="13"/>
  <c r="Z43" i="11"/>
  <c r="X43" i="8"/>
  <c r="W43" i="23" s="1"/>
  <c r="W95" i="23" s="1"/>
  <c r="X27" i="8"/>
  <c r="W27" i="23" s="1"/>
  <c r="W79" i="23" s="1"/>
  <c r="U40" i="8"/>
  <c r="T40" i="23" s="1"/>
  <c r="T92" i="23" s="1"/>
  <c r="M43" i="9"/>
  <c r="AH23" i="8"/>
  <c r="AD23" i="23" s="1"/>
  <c r="AD75" i="23" s="1"/>
  <c r="M43" i="13"/>
  <c r="AI42" i="8"/>
  <c r="AE42" i="23" s="1"/>
  <c r="AE94" i="23" s="1"/>
  <c r="AI39" i="8"/>
  <c r="AE39" i="23" s="1"/>
  <c r="AE91" i="23" s="1"/>
  <c r="AI29" i="8"/>
  <c r="AE29" i="23" s="1"/>
  <c r="AE81" i="23" s="1"/>
  <c r="AI33" i="8"/>
  <c r="AE33" i="23" s="1"/>
  <c r="AE85" i="23" s="1"/>
  <c r="AI26" i="8"/>
  <c r="AE26" i="23" s="1"/>
  <c r="AE78" i="23" s="1"/>
  <c r="AI38" i="8"/>
  <c r="AE38" i="23" s="1"/>
  <c r="AE90" i="23" s="1"/>
  <c r="AI44" i="8"/>
  <c r="AE44" i="23" s="1"/>
  <c r="AE96" i="23" s="1"/>
  <c r="AI35" i="8"/>
  <c r="AE35" i="23" s="1"/>
  <c r="AE87" i="23" s="1"/>
  <c r="AI48" i="8"/>
  <c r="AE48" i="23" s="1"/>
  <c r="AE100" i="23" s="1"/>
  <c r="V37" i="12"/>
  <c r="V37" i="13"/>
  <c r="M30" i="9"/>
  <c r="AI34" i="8"/>
  <c r="AE34" i="23" s="1"/>
  <c r="AE86" i="23" s="1"/>
  <c r="AH25" i="8"/>
  <c r="AD25" i="23" s="1"/>
  <c r="AD77" i="23" s="1"/>
  <c r="AH40" i="8"/>
  <c r="AD40" i="23" s="1"/>
  <c r="AD92" i="23" s="1"/>
  <c r="AH34" i="8"/>
  <c r="AD34" i="23" s="1"/>
  <c r="AD86" i="23" s="1"/>
  <c r="W21" i="11"/>
  <c r="T21" i="12"/>
  <c r="T21" i="13"/>
  <c r="W36" i="11"/>
  <c r="T36" i="12"/>
  <c r="T36" i="13"/>
  <c r="W26" i="11"/>
  <c r="T26" i="12"/>
  <c r="T26" i="13"/>
  <c r="AH12" i="8"/>
  <c r="AD12" i="23" s="1"/>
  <c r="AD64" i="23" s="1"/>
  <c r="AC22" i="8"/>
  <c r="AI31" i="8"/>
  <c r="AE31" i="23" s="1"/>
  <c r="AE83" i="23" s="1"/>
  <c r="AI14" i="8"/>
  <c r="AE14" i="23" s="1"/>
  <c r="AE66" i="23" s="1"/>
  <c r="P30" i="12"/>
  <c r="P30" i="13"/>
  <c r="P36" i="12"/>
  <c r="P36" i="13"/>
  <c r="P22" i="12"/>
  <c r="P22" i="13"/>
  <c r="P28" i="12"/>
  <c r="P28" i="13"/>
  <c r="M6" i="9"/>
  <c r="AC8" i="8"/>
  <c r="Q43" i="8"/>
  <c r="Q43" i="23" s="1"/>
  <c r="Q95" i="23" s="1"/>
  <c r="W53" i="9"/>
  <c r="M49" i="9"/>
  <c r="AI23" i="8"/>
  <c r="AE23" i="23" s="1"/>
  <c r="AE75" i="23" s="1"/>
  <c r="V11" i="9"/>
  <c r="V15" i="9"/>
  <c r="V40" i="9"/>
  <c r="V26" i="9"/>
  <c r="V20" i="9"/>
  <c r="V47" i="9"/>
  <c r="AC49" i="8"/>
  <c r="M32" i="9"/>
  <c r="N25" i="12"/>
  <c r="N25" i="13"/>
  <c r="N32" i="12"/>
  <c r="N32" i="13"/>
  <c r="N28" i="12"/>
  <c r="N28" i="13"/>
  <c r="N22" i="12"/>
  <c r="N22" i="13"/>
  <c r="N9" i="12"/>
  <c r="N9" i="13"/>
  <c r="AI9" i="8"/>
  <c r="AE9" i="23" s="1"/>
  <c r="AE61" i="23" s="1"/>
  <c r="U22" i="12"/>
  <c r="U22" i="13"/>
  <c r="U36" i="12"/>
  <c r="U36" i="13"/>
  <c r="U11" i="12"/>
  <c r="U11" i="13"/>
  <c r="U21" i="12"/>
  <c r="U21" i="13"/>
  <c r="U6" i="12"/>
  <c r="U6" i="13"/>
  <c r="AC11" i="8"/>
  <c r="M17" i="9"/>
  <c r="O28" i="12"/>
  <c r="O28" i="13"/>
  <c r="O19" i="12"/>
  <c r="O19" i="13"/>
  <c r="O35" i="12"/>
  <c r="O35" i="13"/>
  <c r="O10" i="12"/>
  <c r="O10" i="13"/>
  <c r="AI5" i="8"/>
  <c r="AE5" i="23" s="1"/>
  <c r="AE57" i="23" s="1"/>
  <c r="AH53" i="9"/>
  <c r="X19" i="8"/>
  <c r="W19" i="23" s="1"/>
  <c r="W71" i="23" s="1"/>
  <c r="M33" i="9"/>
  <c r="M40" i="9"/>
  <c r="Q47" i="8"/>
  <c r="Q47" i="23" s="1"/>
  <c r="Q99" i="23" s="1"/>
  <c r="W39" i="8"/>
  <c r="V39" i="23" s="1"/>
  <c r="V91" i="23" s="1"/>
  <c r="W11" i="8"/>
  <c r="V11" i="23" s="1"/>
  <c r="V63" i="23" s="1"/>
  <c r="O36" i="8"/>
  <c r="O36" i="23" s="1"/>
  <c r="O88" i="23" s="1"/>
  <c r="AI17" i="8"/>
  <c r="AE17" i="23" s="1"/>
  <c r="AE69" i="23" s="1"/>
  <c r="V36" i="12"/>
  <c r="T36" i="24" s="1"/>
  <c r="T78" i="24" s="1"/>
  <c r="V36" i="13"/>
  <c r="V32" i="13"/>
  <c r="V32" i="12"/>
  <c r="V23" i="12"/>
  <c r="V23" i="13"/>
  <c r="V5" i="12"/>
  <c r="V43" i="11"/>
  <c r="V5" i="13"/>
  <c r="V8" i="12"/>
  <c r="V8" i="13"/>
  <c r="M48" i="9"/>
  <c r="AH36" i="8"/>
  <c r="AD36" i="23" s="1"/>
  <c r="AD88" i="23" s="1"/>
  <c r="X29" i="8"/>
  <c r="W29" i="23" s="1"/>
  <c r="W81" i="23" s="1"/>
  <c r="X17" i="8"/>
  <c r="W17" i="23" s="1"/>
  <c r="W69" i="23" s="1"/>
  <c r="Q9" i="8"/>
  <c r="Q9" i="23" s="1"/>
  <c r="Q61" i="23" s="1"/>
  <c r="AI22" i="8"/>
  <c r="AE22" i="23" s="1"/>
  <c r="AE74" i="23" s="1"/>
  <c r="Z28" i="12"/>
  <c r="AA28" i="12" s="1"/>
  <c r="AA28" i="11"/>
  <c r="Z28" i="13"/>
  <c r="AA28" i="13" s="1"/>
  <c r="AA21" i="11"/>
  <c r="Z21" i="12"/>
  <c r="AA21" i="12" s="1"/>
  <c r="Z21" i="13"/>
  <c r="AA21" i="13" s="1"/>
  <c r="Z23" i="12"/>
  <c r="AA23" i="12" s="1"/>
  <c r="AA23" i="11"/>
  <c r="Z23" i="13"/>
  <c r="AA23" i="13" s="1"/>
  <c r="AA18" i="11"/>
  <c r="Z18" i="12"/>
  <c r="AA18" i="12" s="1"/>
  <c r="Z18" i="13"/>
  <c r="AA18" i="13" s="1"/>
  <c r="Z7" i="12"/>
  <c r="AA7" i="12" s="1"/>
  <c r="AA7" i="11"/>
  <c r="Z7" i="13"/>
  <c r="AA7" i="13" s="1"/>
  <c r="AH14" i="8"/>
  <c r="AD14" i="23" s="1"/>
  <c r="AD66" i="23" s="1"/>
  <c r="S5" i="13"/>
  <c r="S43" i="13" s="1"/>
  <c r="R43" i="13"/>
  <c r="AC17" i="8"/>
  <c r="Q23" i="8"/>
  <c r="Q23" i="23" s="1"/>
  <c r="Q75" i="23" s="1"/>
  <c r="L35" i="8"/>
  <c r="L35" i="23" s="1"/>
  <c r="L87" i="23" s="1"/>
  <c r="O18" i="8"/>
  <c r="O18" i="23" s="1"/>
  <c r="O70" i="23" s="1"/>
  <c r="W17" i="11"/>
  <c r="T17" i="12"/>
  <c r="T17" i="13"/>
  <c r="AD5" i="8"/>
  <c r="P24" i="12"/>
  <c r="P24" i="13"/>
  <c r="M21" i="9"/>
  <c r="N17" i="12"/>
  <c r="N17" i="13"/>
  <c r="U38" i="12"/>
  <c r="U38" i="13"/>
  <c r="O13" i="12"/>
  <c r="O13" i="13"/>
  <c r="AC30" i="8"/>
  <c r="AC44" i="8"/>
  <c r="Q48" i="8"/>
  <c r="Q48" i="23" s="1"/>
  <c r="Q100" i="23" s="1"/>
  <c r="W19" i="11"/>
  <c r="T19" i="12"/>
  <c r="T19" i="13"/>
  <c r="W31" i="11"/>
  <c r="T31" i="12"/>
  <c r="R31" i="24" s="1"/>
  <c r="R73" i="24" s="1"/>
  <c r="T31" i="13"/>
  <c r="Q42" i="8"/>
  <c r="Q42" i="23" s="1"/>
  <c r="Q94" i="23" s="1"/>
  <c r="W13" i="8"/>
  <c r="V13" i="23" s="1"/>
  <c r="V65" i="23" s="1"/>
  <c r="M47" i="9"/>
  <c r="P40" i="12"/>
  <c r="P40" i="13"/>
  <c r="P41" i="12"/>
  <c r="P41" i="13"/>
  <c r="P26" i="12"/>
  <c r="P26" i="13"/>
  <c r="P16" i="12"/>
  <c r="P16" i="13"/>
  <c r="M16" i="9"/>
  <c r="AH21" i="8"/>
  <c r="AD21" i="23" s="1"/>
  <c r="AD73" i="23" s="1"/>
  <c r="W6" i="8"/>
  <c r="V6" i="23" s="1"/>
  <c r="V58" i="23" s="1"/>
  <c r="V9" i="9"/>
  <c r="V31" i="9"/>
  <c r="V44" i="9"/>
  <c r="V29" i="9"/>
  <c r="V30" i="9"/>
  <c r="V51" i="9"/>
  <c r="AI12" i="8"/>
  <c r="AE12" i="23" s="1"/>
  <c r="AE64" i="23" s="1"/>
  <c r="AI24" i="8"/>
  <c r="AE24" i="23" s="1"/>
  <c r="AE76" i="23" s="1"/>
  <c r="AH29" i="8"/>
  <c r="AD29" i="23" s="1"/>
  <c r="AD81" i="23" s="1"/>
  <c r="Q36" i="8"/>
  <c r="Q36" i="23" s="1"/>
  <c r="Q88" i="23" s="1"/>
  <c r="W23" i="8"/>
  <c r="V23" i="23" s="1"/>
  <c r="V75" i="23" s="1"/>
  <c r="M42" i="9"/>
  <c r="N31" i="12"/>
  <c r="N31" i="13"/>
  <c r="N39" i="12"/>
  <c r="N39" i="13"/>
  <c r="N33" i="12"/>
  <c r="N33" i="13"/>
  <c r="N35" i="12"/>
  <c r="N35" i="13"/>
  <c r="N6" i="12"/>
  <c r="N6" i="13"/>
  <c r="M13" i="9"/>
  <c r="U26" i="12"/>
  <c r="U26" i="13"/>
  <c r="U28" i="12"/>
  <c r="U28" i="13"/>
  <c r="U30" i="12"/>
  <c r="U30" i="13"/>
  <c r="U16" i="12"/>
  <c r="U16" i="13"/>
  <c r="U8" i="12"/>
  <c r="U8" i="13"/>
  <c r="AH26" i="8"/>
  <c r="AD26" i="23" s="1"/>
  <c r="AD78" i="23" s="1"/>
  <c r="AC37" i="8"/>
  <c r="AB29" i="7"/>
  <c r="Q21" i="8"/>
  <c r="Q21" i="23" s="1"/>
  <c r="Q73" i="23" s="1"/>
  <c r="Q37" i="8"/>
  <c r="Q37" i="23" s="1"/>
  <c r="Q89" i="23" s="1"/>
  <c r="W10" i="8"/>
  <c r="V10" i="23" s="1"/>
  <c r="V62" i="23" s="1"/>
  <c r="O24" i="12"/>
  <c r="O24" i="13"/>
  <c r="O30" i="12"/>
  <c r="O30" i="13"/>
  <c r="O11" i="12"/>
  <c r="O11" i="13"/>
  <c r="O41" i="12"/>
  <c r="O41" i="13"/>
  <c r="O5" i="12"/>
  <c r="O43" i="11"/>
  <c r="O5" i="13"/>
  <c r="AI41" i="8"/>
  <c r="AE41" i="23" s="1"/>
  <c r="AE93" i="23" s="1"/>
  <c r="AH11" i="8"/>
  <c r="AD11" i="23" s="1"/>
  <c r="AD63" i="23" s="1"/>
  <c r="AH35" i="8"/>
  <c r="AD35" i="23" s="1"/>
  <c r="AD87" i="23" s="1"/>
  <c r="AC42" i="8"/>
  <c r="AC40" i="8"/>
  <c r="M51" i="9"/>
  <c r="M12" i="9"/>
  <c r="V13" i="12"/>
  <c r="V13" i="13"/>
  <c r="V19" i="12"/>
  <c r="V19" i="13"/>
  <c r="V26" i="12"/>
  <c r="V26" i="13"/>
  <c r="V15" i="12"/>
  <c r="V15" i="13"/>
  <c r="W14" i="8"/>
  <c r="V14" i="23" s="1"/>
  <c r="V66" i="23" s="1"/>
  <c r="AC26" i="8"/>
  <c r="W36" i="8"/>
  <c r="V36" i="23" s="1"/>
  <c r="V88" i="23" s="1"/>
  <c r="W7" i="8"/>
  <c r="V7" i="23" s="1"/>
  <c r="V59" i="23" s="1"/>
  <c r="O30" i="8"/>
  <c r="O30" i="23" s="1"/>
  <c r="O82" i="23" s="1"/>
  <c r="M19" i="9"/>
  <c r="AA36" i="11"/>
  <c r="Z36" i="12"/>
  <c r="AA36" i="12" s="1"/>
  <c r="Z36" i="13"/>
  <c r="AA36" i="13" s="1"/>
  <c r="Z17" i="12"/>
  <c r="AA17" i="12" s="1"/>
  <c r="AA17" i="11"/>
  <c r="Z17" i="13"/>
  <c r="AA17" i="13" s="1"/>
  <c r="Z24" i="12"/>
  <c r="AA24" i="12" s="1"/>
  <c r="AA24" i="11"/>
  <c r="Z24" i="13"/>
  <c r="AA24" i="13" s="1"/>
  <c r="AA41" i="11"/>
  <c r="Z41" i="12"/>
  <c r="AA41" i="12" s="1"/>
  <c r="Z41" i="13"/>
  <c r="AA41" i="13" s="1"/>
  <c r="Z15" i="12"/>
  <c r="AA15" i="12" s="1"/>
  <c r="AA15" i="11"/>
  <c r="Z15" i="13"/>
  <c r="AA15" i="13" s="1"/>
  <c r="S43" i="11"/>
  <c r="AC27" i="8"/>
  <c r="X26" i="8"/>
  <c r="W26" i="23" s="1"/>
  <c r="W78" i="23" s="1"/>
  <c r="X14" i="8"/>
  <c r="W14" i="23" s="1"/>
  <c r="W66" i="23" s="1"/>
  <c r="AI40" i="8"/>
  <c r="AE40" i="23" s="1"/>
  <c r="AE92" i="23" s="1"/>
  <c r="P19" i="12"/>
  <c r="P19" i="13"/>
  <c r="V14" i="9"/>
  <c r="N37" i="12"/>
  <c r="N37" i="13"/>
  <c r="AI50" i="8"/>
  <c r="AE50" i="23" s="1"/>
  <c r="AE102" i="23" s="1"/>
  <c r="U34" i="13"/>
  <c r="U34" i="12"/>
  <c r="O36" i="12"/>
  <c r="O36" i="13"/>
  <c r="V38" i="12"/>
  <c r="V38" i="13"/>
  <c r="AA38" i="11"/>
  <c r="Z38" i="12"/>
  <c r="AA38" i="12" s="1"/>
  <c r="Z38" i="13"/>
  <c r="AA38" i="13" s="1"/>
  <c r="AI47" i="8"/>
  <c r="AE47" i="23" s="1"/>
  <c r="AE99" i="23" s="1"/>
  <c r="W6" i="11"/>
  <c r="T6" i="12"/>
  <c r="T6" i="13"/>
  <c r="M7" i="9"/>
  <c r="W30" i="11"/>
  <c r="T30" i="12"/>
  <c r="T30" i="13"/>
  <c r="W34" i="11"/>
  <c r="T34" i="12"/>
  <c r="T34" i="13"/>
  <c r="W8" i="11"/>
  <c r="T8" i="12"/>
  <c r="T8" i="13"/>
  <c r="D46" i="5"/>
  <c r="Q44" i="13"/>
  <c r="Q44" i="12"/>
  <c r="Q44" i="11"/>
  <c r="Q44" i="10"/>
  <c r="AH20" i="8"/>
  <c r="AD20" i="23" s="1"/>
  <c r="AD72" i="23" s="1"/>
  <c r="AH46" i="8"/>
  <c r="AD46" i="23" s="1"/>
  <c r="AD98" i="23" s="1"/>
  <c r="W16" i="8"/>
  <c r="V16" i="23" s="1"/>
  <c r="V68" i="23" s="1"/>
  <c r="M45" i="9"/>
  <c r="AI49" i="8"/>
  <c r="AE49" i="23" s="1"/>
  <c r="AE101" i="23" s="1"/>
  <c r="W14" i="11"/>
  <c r="T14" i="12"/>
  <c r="T14" i="13"/>
  <c r="W39" i="11"/>
  <c r="T39" i="12"/>
  <c r="T39" i="13"/>
  <c r="W23" i="11"/>
  <c r="T23" i="12"/>
  <c r="T23" i="13"/>
  <c r="W18" i="11"/>
  <c r="T18" i="12"/>
  <c r="T18" i="13"/>
  <c r="W10" i="11"/>
  <c r="T10" i="12"/>
  <c r="T10" i="13"/>
  <c r="AH43" i="8"/>
  <c r="AD43" i="23" s="1"/>
  <c r="AD95" i="23" s="1"/>
  <c r="AC19" i="8"/>
  <c r="AC50" i="8"/>
  <c r="M20" i="9"/>
  <c r="AI51" i="8"/>
  <c r="AE51" i="23" s="1"/>
  <c r="AE103" i="23" s="1"/>
  <c r="AI46" i="8"/>
  <c r="AE46" i="23" s="1"/>
  <c r="AE98" i="23" s="1"/>
  <c r="P35" i="12"/>
  <c r="P35" i="13"/>
  <c r="P25" i="12"/>
  <c r="P25" i="13"/>
  <c r="P32" i="12"/>
  <c r="P32" i="13"/>
  <c r="P6" i="13"/>
  <c r="P6" i="12"/>
  <c r="M10" i="9"/>
  <c r="AC34" i="8"/>
  <c r="Q8" i="8"/>
  <c r="Q8" i="23" s="1"/>
  <c r="Q60" i="23" s="1"/>
  <c r="Q17" i="8"/>
  <c r="Q17" i="23" s="1"/>
  <c r="Q69" i="23" s="1"/>
  <c r="M50" i="9"/>
  <c r="AI37" i="8"/>
  <c r="AE37" i="23" s="1"/>
  <c r="AE89" i="23" s="1"/>
  <c r="V18" i="9"/>
  <c r="V53" i="7"/>
  <c r="V58" i="7" s="1"/>
  <c r="V7" i="8" s="1"/>
  <c r="V5" i="9"/>
  <c r="V19" i="9"/>
  <c r="V32" i="9"/>
  <c r="V33" i="9"/>
  <c r="V42" i="9"/>
  <c r="AC10" i="8"/>
  <c r="AB33" i="7"/>
  <c r="N18" i="12"/>
  <c r="N18" i="24" s="1"/>
  <c r="N60" i="24" s="1"/>
  <c r="N18" i="13"/>
  <c r="N41" i="12"/>
  <c r="N41" i="13"/>
  <c r="N12" i="12"/>
  <c r="N12" i="13"/>
  <c r="N10" i="12"/>
  <c r="N10" i="13"/>
  <c r="N8" i="13"/>
  <c r="N8" i="12"/>
  <c r="L47" i="10"/>
  <c r="L47" i="12" s="1"/>
  <c r="U32" i="12"/>
  <c r="U32" i="13"/>
  <c r="U35" i="12"/>
  <c r="U35" i="13"/>
  <c r="U17" i="12"/>
  <c r="U17" i="13"/>
  <c r="U12" i="12"/>
  <c r="U12" i="13"/>
  <c r="U10" i="12"/>
  <c r="U10" i="13"/>
  <c r="M27" i="9"/>
  <c r="O27" i="12"/>
  <c r="O27" i="13"/>
  <c r="O20" i="12"/>
  <c r="O20" i="13"/>
  <c r="O34" i="12"/>
  <c r="O34" i="13"/>
  <c r="O23" i="12"/>
  <c r="O23" i="13"/>
  <c r="O7" i="12"/>
  <c r="O7" i="13"/>
  <c r="AC7" i="8"/>
  <c r="X53" i="9"/>
  <c r="Q27" i="8"/>
  <c r="Q27" i="23" s="1"/>
  <c r="Q79" i="23" s="1"/>
  <c r="Q33" i="8"/>
  <c r="Q33" i="23" s="1"/>
  <c r="Q85" i="23" s="1"/>
  <c r="W32" i="8"/>
  <c r="V32" i="23" s="1"/>
  <c r="V84" i="23" s="1"/>
  <c r="O53" i="9"/>
  <c r="O48" i="8"/>
  <c r="O48" i="23" s="1"/>
  <c r="O100" i="23" s="1"/>
  <c r="AI15" i="8"/>
  <c r="AE15" i="23" s="1"/>
  <c r="AE67" i="23" s="1"/>
  <c r="V40" i="12"/>
  <c r="V40" i="13"/>
  <c r="V25" i="12"/>
  <c r="V25" i="13"/>
  <c r="V21" i="12"/>
  <c r="V21" i="13"/>
  <c r="V33" i="12"/>
  <c r="T33" i="24" s="1"/>
  <c r="T75" i="24" s="1"/>
  <c r="V33" i="13"/>
  <c r="AC15" i="8"/>
  <c r="AH13" i="8"/>
  <c r="AD13" i="23" s="1"/>
  <c r="AD65" i="23" s="1"/>
  <c r="AH31" i="8"/>
  <c r="AD31" i="23" s="1"/>
  <c r="AD83" i="23" s="1"/>
  <c r="AC43" i="8"/>
  <c r="X9" i="8"/>
  <c r="W9" i="23" s="1"/>
  <c r="W61" i="23" s="1"/>
  <c r="Q35" i="8"/>
  <c r="Q35" i="23" s="1"/>
  <c r="Q87" i="23" s="1"/>
  <c r="L10" i="8"/>
  <c r="L10" i="23" s="1"/>
  <c r="L62" i="23" s="1"/>
  <c r="M46" i="9"/>
  <c r="AI10" i="8"/>
  <c r="AE10" i="23" s="1"/>
  <c r="AE62" i="23" s="1"/>
  <c r="Z31" i="12"/>
  <c r="AA31" i="12" s="1"/>
  <c r="AA31" i="11"/>
  <c r="Z31" i="13"/>
  <c r="AA31" i="13" s="1"/>
  <c r="Z12" i="12"/>
  <c r="AA12" i="12" s="1"/>
  <c r="AA12" i="11"/>
  <c r="Z12" i="13"/>
  <c r="AA12" i="13" s="1"/>
  <c r="Z11" i="12"/>
  <c r="AA11" i="12" s="1"/>
  <c r="AA11" i="11"/>
  <c r="Z11" i="13"/>
  <c r="AA11" i="13" s="1"/>
  <c r="Z25" i="12"/>
  <c r="AA25" i="12" s="1"/>
  <c r="AA25" i="11"/>
  <c r="Z25" i="13"/>
  <c r="AA25" i="13" s="1"/>
  <c r="Z9" i="12"/>
  <c r="AA9" i="12" s="1"/>
  <c r="AA9" i="11"/>
  <c r="Z9" i="13"/>
  <c r="AA9" i="13" s="1"/>
  <c r="AH30" i="8"/>
  <c r="AD30" i="23" s="1"/>
  <c r="AD82" i="23" s="1"/>
  <c r="S5" i="12"/>
  <c r="R43" i="12"/>
  <c r="U27" i="8"/>
  <c r="T27" i="23" s="1"/>
  <c r="T79" i="23" s="1"/>
  <c r="Q11" i="8"/>
  <c r="Q11" i="23" s="1"/>
  <c r="Q63" i="23" s="1"/>
  <c r="L32" i="8"/>
  <c r="L32" i="23" s="1"/>
  <c r="L84" i="23" s="1"/>
  <c r="P29" i="8"/>
  <c r="W41" i="11"/>
  <c r="T41" i="12"/>
  <c r="T41" i="13"/>
  <c r="P21" i="12"/>
  <c r="P21" i="13"/>
  <c r="M15" i="9"/>
  <c r="V37" i="8"/>
  <c r="V37" i="9"/>
  <c r="V27" i="9"/>
  <c r="M8" i="9"/>
  <c r="N19" i="12"/>
  <c r="N19" i="13"/>
  <c r="U39" i="12"/>
  <c r="U39" i="13"/>
  <c r="U15" i="12"/>
  <c r="U15" i="13"/>
  <c r="O32" i="12"/>
  <c r="O32" i="13"/>
  <c r="V28" i="12"/>
  <c r="V28" i="13"/>
  <c r="AA37" i="11"/>
  <c r="Z37" i="12"/>
  <c r="AA37" i="12" s="1"/>
  <c r="Z37" i="13"/>
  <c r="AA37" i="13" s="1"/>
  <c r="L53" i="9"/>
  <c r="W12" i="11"/>
  <c r="T12" i="12"/>
  <c r="T12" i="13"/>
  <c r="W27" i="11"/>
  <c r="T27" i="12"/>
  <c r="T27" i="13"/>
  <c r="W28" i="11"/>
  <c r="T28" i="12"/>
  <c r="R28" i="24" s="1"/>
  <c r="R70" i="24" s="1"/>
  <c r="T28" i="13"/>
  <c r="W5" i="11"/>
  <c r="T5" i="12"/>
  <c r="T5" i="13"/>
  <c r="T43" i="11"/>
  <c r="AC38" i="8"/>
  <c r="Q15" i="8"/>
  <c r="Q15" i="23" s="1"/>
  <c r="Q67" i="23" s="1"/>
  <c r="Q38" i="8"/>
  <c r="Q38" i="23" s="1"/>
  <c r="Q90" i="23" s="1"/>
  <c r="W25" i="8"/>
  <c r="V25" i="23" s="1"/>
  <c r="V77" i="23" s="1"/>
  <c r="P12" i="12"/>
  <c r="P12" i="13"/>
  <c r="P20" i="12"/>
  <c r="P20" i="13"/>
  <c r="P31" i="12"/>
  <c r="P31" i="13"/>
  <c r="P29" i="12"/>
  <c r="P29" i="13"/>
  <c r="P10" i="12"/>
  <c r="P10" i="13"/>
  <c r="M14" i="9"/>
  <c r="AH24" i="8"/>
  <c r="AD24" i="23" s="1"/>
  <c r="AD76" i="23" s="1"/>
  <c r="AC51" i="8"/>
  <c r="M44" i="9"/>
  <c r="M29" i="9"/>
  <c r="W22" i="8"/>
  <c r="V22" i="23" s="1"/>
  <c r="V74" i="23" s="1"/>
  <c r="V21" i="8"/>
  <c r="V21" i="9"/>
  <c r="V12" i="9"/>
  <c r="V35" i="8"/>
  <c r="V35" i="9"/>
  <c r="V10" i="8"/>
  <c r="V10" i="9"/>
  <c r="V36" i="8"/>
  <c r="V36" i="9"/>
  <c r="V45" i="9"/>
  <c r="AH6" i="8"/>
  <c r="AD6" i="23" s="1"/>
  <c r="AD58" i="23" s="1"/>
  <c r="AH44" i="8"/>
  <c r="AD44" i="23" s="1"/>
  <c r="AD96" i="23" s="1"/>
  <c r="AC29" i="8"/>
  <c r="Q30" i="8"/>
  <c r="Q30" i="23" s="1"/>
  <c r="Q82" i="23" s="1"/>
  <c r="W47" i="8"/>
  <c r="V47" i="23" s="1"/>
  <c r="V99" i="23" s="1"/>
  <c r="N23" i="12"/>
  <c r="N23" i="13"/>
  <c r="N16" i="12"/>
  <c r="N16" i="13"/>
  <c r="N34" i="12"/>
  <c r="N34" i="24" s="1"/>
  <c r="N76" i="24" s="1"/>
  <c r="N34" i="13"/>
  <c r="N20" i="12"/>
  <c r="N20" i="13"/>
  <c r="U31" i="12"/>
  <c r="U31" i="13"/>
  <c r="U25" i="12"/>
  <c r="U25" i="13"/>
  <c r="U23" i="12"/>
  <c r="U23" i="13"/>
  <c r="U24" i="12"/>
  <c r="U24" i="13"/>
  <c r="M26" i="9"/>
  <c r="AH38" i="8"/>
  <c r="AD38" i="23" s="1"/>
  <c r="AD90" i="23" s="1"/>
  <c r="Q13" i="8"/>
  <c r="Q13" i="23" s="1"/>
  <c r="Q65" i="23" s="1"/>
  <c r="W35" i="8"/>
  <c r="V35" i="23" s="1"/>
  <c r="V87" i="23" s="1"/>
  <c r="O16" i="12"/>
  <c r="O16" i="13"/>
  <c r="O33" i="12"/>
  <c r="O33" i="13"/>
  <c r="O39" i="12"/>
  <c r="O39" i="13"/>
  <c r="O29" i="12"/>
  <c r="O29" i="13"/>
  <c r="O15" i="12"/>
  <c r="O15" i="13"/>
  <c r="AI20" i="8"/>
  <c r="AE20" i="23" s="1"/>
  <c r="AE72" i="23" s="1"/>
  <c r="AH51" i="8"/>
  <c r="AD51" i="23" s="1"/>
  <c r="AD103" i="23" s="1"/>
  <c r="X5" i="8"/>
  <c r="W5" i="23" s="1"/>
  <c r="W57" i="23" s="1"/>
  <c r="Q53" i="9"/>
  <c r="M25" i="9"/>
  <c r="V39" i="12"/>
  <c r="T39" i="24" s="1"/>
  <c r="T81" i="24" s="1"/>
  <c r="V39" i="13"/>
  <c r="V31" i="12"/>
  <c r="V31" i="13"/>
  <c r="V30" i="12"/>
  <c r="V30" i="13"/>
  <c r="V7" i="12"/>
  <c r="V7" i="13"/>
  <c r="O46" i="8"/>
  <c r="O46" i="23" s="1"/>
  <c r="O98" i="23" s="1"/>
  <c r="M35" i="9"/>
  <c r="AC21" i="8"/>
  <c r="W29" i="8"/>
  <c r="V29" i="23" s="1"/>
  <c r="V81" i="23" s="1"/>
  <c r="O16" i="8"/>
  <c r="O16" i="23" s="1"/>
  <c r="O68" i="23" s="1"/>
  <c r="O35" i="8"/>
  <c r="O35" i="23" s="1"/>
  <c r="O87" i="23" s="1"/>
  <c r="AA19" i="11"/>
  <c r="Z19" i="12"/>
  <c r="AA19" i="12" s="1"/>
  <c r="Z19" i="13"/>
  <c r="AA19" i="13" s="1"/>
  <c r="Z30" i="12"/>
  <c r="AA30" i="12" s="1"/>
  <c r="AA30" i="11"/>
  <c r="Z30" i="13"/>
  <c r="AA30" i="13" s="1"/>
  <c r="Z14" i="12"/>
  <c r="AA14" i="12" s="1"/>
  <c r="AA14" i="11"/>
  <c r="Z14" i="13"/>
  <c r="AA14" i="13" s="1"/>
  <c r="Z32" i="12"/>
  <c r="AA32" i="12" s="1"/>
  <c r="AA32" i="11"/>
  <c r="Z32" i="13"/>
  <c r="AA32" i="13" s="1"/>
  <c r="AA6" i="11"/>
  <c r="Z6" i="12"/>
  <c r="AA6" i="12" s="1"/>
  <c r="Z6" i="13"/>
  <c r="AA6" i="13" s="1"/>
  <c r="AC47" i="8"/>
  <c r="X46" i="8"/>
  <c r="W46" i="23" s="1"/>
  <c r="W98" i="23" s="1"/>
  <c r="U53" i="9"/>
  <c r="P53" i="9"/>
  <c r="AI6" i="8"/>
  <c r="AE6" i="23" s="1"/>
  <c r="AE58" i="23" s="1"/>
  <c r="W24" i="11"/>
  <c r="T24" i="12"/>
  <c r="T24" i="13"/>
  <c r="AH17" i="8"/>
  <c r="AD17" i="23" s="1"/>
  <c r="AD69" i="23" s="1"/>
  <c r="P15" i="12"/>
  <c r="P15" i="13"/>
  <c r="M24" i="9"/>
  <c r="V13" i="8"/>
  <c r="U13" i="23" s="1"/>
  <c r="U65" i="23" s="1"/>
  <c r="V13" i="9"/>
  <c r="N7" i="12"/>
  <c r="N7" i="13"/>
  <c r="S58" i="7"/>
  <c r="R58" i="7"/>
  <c r="O18" i="12"/>
  <c r="O18" i="13"/>
  <c r="V20" i="12"/>
  <c r="T20" i="24" s="1"/>
  <c r="T62" i="24" s="1"/>
  <c r="V20" i="13"/>
  <c r="V9" i="12"/>
  <c r="V9" i="13"/>
  <c r="AH49" i="8"/>
  <c r="AD49" i="23" s="1"/>
  <c r="AD101" i="23" s="1"/>
  <c r="Z10" i="12"/>
  <c r="AA10" i="12" s="1"/>
  <c r="AA10" i="11"/>
  <c r="Z10" i="13"/>
  <c r="AA10" i="13" s="1"/>
  <c r="AI28" i="8"/>
  <c r="AE28" i="23" s="1"/>
  <c r="AE80" i="23" s="1"/>
  <c r="AH39" i="8"/>
  <c r="AD39" i="23" s="1"/>
  <c r="AD91" i="23" s="1"/>
  <c r="N54" i="9"/>
  <c r="N54" i="8"/>
  <c r="N58" i="8" s="1"/>
  <c r="N54" i="7"/>
  <c r="AC14" i="8"/>
  <c r="AC41" i="8"/>
  <c r="Q5" i="8"/>
  <c r="Q5" i="23" s="1"/>
  <c r="Q57" i="23" s="1"/>
  <c r="Q25" i="8"/>
  <c r="Q25" i="23" s="1"/>
  <c r="Q77" i="23" s="1"/>
  <c r="W37" i="11"/>
  <c r="T37" i="12"/>
  <c r="T37" i="13"/>
  <c r="AH15" i="8"/>
  <c r="AD15" i="23" s="1"/>
  <c r="AD67" i="23" s="1"/>
  <c r="AH27" i="8"/>
  <c r="AD27" i="23" s="1"/>
  <c r="AD79" i="23" s="1"/>
  <c r="W28" i="8"/>
  <c r="V28" i="23" s="1"/>
  <c r="V80" i="23" s="1"/>
  <c r="AI19" i="8"/>
  <c r="AE19" i="23" s="1"/>
  <c r="AE71" i="23" s="1"/>
  <c r="W35" i="11"/>
  <c r="T35" i="12"/>
  <c r="T35" i="13"/>
  <c r="W22" i="11"/>
  <c r="T22" i="12"/>
  <c r="T22" i="13"/>
  <c r="W22" i="13" s="1"/>
  <c r="W33" i="11"/>
  <c r="T33" i="12"/>
  <c r="R33" i="24" s="1"/>
  <c r="R75" i="24" s="1"/>
  <c r="T33" i="13"/>
  <c r="W11" i="11"/>
  <c r="T11" i="12"/>
  <c r="T11" i="13"/>
  <c r="W7" i="11"/>
  <c r="T7" i="12"/>
  <c r="T7" i="13"/>
  <c r="AH28" i="8"/>
  <c r="AD28" i="23" s="1"/>
  <c r="AD80" i="23" s="1"/>
  <c r="AD5" i="9"/>
  <c r="AD53" i="9" s="1"/>
  <c r="AC53" i="9"/>
  <c r="AC23" i="8"/>
  <c r="AI43" i="8"/>
  <c r="AE43" i="23" s="1"/>
  <c r="AE95" i="23" s="1"/>
  <c r="P33" i="12"/>
  <c r="P33" i="13"/>
  <c r="P17" i="12"/>
  <c r="P17" i="13"/>
  <c r="P38" i="13"/>
  <c r="P38" i="12"/>
  <c r="P13" i="12"/>
  <c r="P13" i="13"/>
  <c r="P5" i="12"/>
  <c r="P43" i="11"/>
  <c r="P5" i="13"/>
  <c r="M38" i="9"/>
  <c r="AH10" i="8"/>
  <c r="AD10" i="23" s="1"/>
  <c r="AD62" i="23" s="1"/>
  <c r="Q26" i="8"/>
  <c r="Q26" i="23" s="1"/>
  <c r="Q78" i="23" s="1"/>
  <c r="Q49" i="8"/>
  <c r="Q49" i="23" s="1"/>
  <c r="Q101" i="23" s="1"/>
  <c r="AI13" i="8"/>
  <c r="AE13" i="23" s="1"/>
  <c r="AE65" i="23" s="1"/>
  <c r="V24" i="8"/>
  <c r="V24" i="9"/>
  <c r="V22" i="8"/>
  <c r="U22" i="23" s="1"/>
  <c r="U74" i="23" s="1"/>
  <c r="V46" i="8"/>
  <c r="U46" i="23" s="1"/>
  <c r="U98" i="23" s="1"/>
  <c r="V46" i="9"/>
  <c r="V23" i="8"/>
  <c r="V23" i="9"/>
  <c r="V41" i="8"/>
  <c r="V41" i="9"/>
  <c r="V48" i="8"/>
  <c r="V48" i="9"/>
  <c r="AB42" i="7"/>
  <c r="N27" i="12"/>
  <c r="N27" i="13"/>
  <c r="N14" i="12"/>
  <c r="N14" i="13"/>
  <c r="N13" i="12"/>
  <c r="N13" i="13"/>
  <c r="N30" i="12"/>
  <c r="N30" i="13"/>
  <c r="AI27" i="8"/>
  <c r="AE27" i="23" s="1"/>
  <c r="AE79" i="23" s="1"/>
  <c r="U41" i="12"/>
  <c r="U41" i="13"/>
  <c r="U18" i="12"/>
  <c r="U18" i="13"/>
  <c r="U29" i="12"/>
  <c r="U29" i="13"/>
  <c r="U5" i="12"/>
  <c r="U43" i="11"/>
  <c r="U5" i="13"/>
  <c r="AC6" i="8"/>
  <c r="AC28" i="8"/>
  <c r="X49" i="8"/>
  <c r="W49" i="23" s="1"/>
  <c r="W101" i="23" s="1"/>
  <c r="X30" i="8"/>
  <c r="W30" i="23" s="1"/>
  <c r="W82" i="23" s="1"/>
  <c r="O17" i="12"/>
  <c r="O17" i="13"/>
  <c r="O26" i="12"/>
  <c r="O26" i="24" s="1"/>
  <c r="O68" i="24" s="1"/>
  <c r="O26" i="13"/>
  <c r="O38" i="12"/>
  <c r="O38" i="13"/>
  <c r="O22" i="12"/>
  <c r="O22" i="13"/>
  <c r="O9" i="12"/>
  <c r="O9" i="13"/>
  <c r="AI8" i="8"/>
  <c r="AE8" i="23" s="1"/>
  <c r="AE60" i="23" s="1"/>
  <c r="AC46" i="8"/>
  <c r="X41" i="8"/>
  <c r="W41" i="23" s="1"/>
  <c r="W93" i="23" s="1"/>
  <c r="Q6" i="8"/>
  <c r="Q6" i="23" s="1"/>
  <c r="Q58" i="23" s="1"/>
  <c r="W19" i="8"/>
  <c r="V19" i="23" s="1"/>
  <c r="V71" i="23" s="1"/>
  <c r="O5" i="8"/>
  <c r="O5" i="23" s="1"/>
  <c r="O57" i="23" s="1"/>
  <c r="O29" i="8"/>
  <c r="O29" i="23" s="1"/>
  <c r="O81" i="23" s="1"/>
  <c r="M18" i="9"/>
  <c r="V11" i="12"/>
  <c r="V11" i="13"/>
  <c r="V14" i="12"/>
  <c r="W14" i="12" s="1"/>
  <c r="V14" i="13"/>
  <c r="V16" i="12"/>
  <c r="V16" i="13"/>
  <c r="V34" i="12"/>
  <c r="V34" i="13"/>
  <c r="V27" i="12"/>
  <c r="V27" i="13"/>
  <c r="AH7" i="8"/>
  <c r="AD7" i="23" s="1"/>
  <c r="AD59" i="23" s="1"/>
  <c r="AC20" i="8"/>
  <c r="X45" i="8"/>
  <c r="W45" i="23" s="1"/>
  <c r="W97" i="23" s="1"/>
  <c r="Q28" i="8"/>
  <c r="Q28" i="23" s="1"/>
  <c r="Q80" i="23" s="1"/>
  <c r="Q50" i="8"/>
  <c r="Q50" i="23" s="1"/>
  <c r="Q102" i="23" s="1"/>
  <c r="AI18" i="8"/>
  <c r="AE18" i="23" s="1"/>
  <c r="AE70" i="23" s="1"/>
  <c r="Z40" i="12"/>
  <c r="AA40" i="12" s="1"/>
  <c r="AA40" i="11"/>
  <c r="Z40" i="13"/>
  <c r="AA40" i="13" s="1"/>
  <c r="Z26" i="12"/>
  <c r="AA26" i="12" s="1"/>
  <c r="AA26" i="11"/>
  <c r="Z26" i="13"/>
  <c r="AA26" i="13" s="1"/>
  <c r="Z16" i="12"/>
  <c r="AA16" i="12" s="1"/>
  <c r="AA16" i="11"/>
  <c r="Z16" i="13"/>
  <c r="AA16" i="13" s="1"/>
  <c r="Z13" i="12"/>
  <c r="AA13" i="12" s="1"/>
  <c r="AA13" i="11"/>
  <c r="Z13" i="13"/>
  <c r="AA13" i="13" s="1"/>
  <c r="M34" i="9"/>
  <c r="AH37" i="8"/>
  <c r="AD37" i="23" s="1"/>
  <c r="AD89" i="23" s="1"/>
  <c r="AC35" i="8"/>
  <c r="AB46" i="7"/>
  <c r="U14" i="8"/>
  <c r="Q44" i="8"/>
  <c r="Q44" i="23" s="1"/>
  <c r="Q96" i="23" s="1"/>
  <c r="W33" i="8"/>
  <c r="V33" i="23" s="1"/>
  <c r="V85" i="23" s="1"/>
  <c r="W32" i="11"/>
  <c r="T32" i="12"/>
  <c r="T32" i="13"/>
  <c r="P27" i="12"/>
  <c r="P27" i="13"/>
  <c r="W20" i="11"/>
  <c r="T20" i="12"/>
  <c r="T20" i="13"/>
  <c r="W40" i="11"/>
  <c r="T40" i="12"/>
  <c r="T40" i="13"/>
  <c r="W25" i="11"/>
  <c r="T25" i="12"/>
  <c r="T25" i="13"/>
  <c r="W9" i="11"/>
  <c r="T9" i="12"/>
  <c r="T9" i="13"/>
  <c r="W15" i="11"/>
  <c r="T15" i="12"/>
  <c r="T15" i="13"/>
  <c r="Q29" i="8"/>
  <c r="Q29" i="23" s="1"/>
  <c r="Q81" i="23" s="1"/>
  <c r="Q12" i="8"/>
  <c r="Q12" i="23" s="1"/>
  <c r="Q64" i="23" s="1"/>
  <c r="P39" i="12"/>
  <c r="P39" i="13"/>
  <c r="P34" i="12"/>
  <c r="P34" i="13"/>
  <c r="P37" i="12"/>
  <c r="P37" i="13"/>
  <c r="P18" i="12"/>
  <c r="P18" i="13"/>
  <c r="P7" i="12"/>
  <c r="P7" i="13"/>
  <c r="M5" i="9"/>
  <c r="M53" i="7"/>
  <c r="M58" i="7" s="1"/>
  <c r="M37" i="8" s="1"/>
  <c r="M37" i="23" s="1"/>
  <c r="M89" i="23" s="1"/>
  <c r="AH50" i="8"/>
  <c r="AD50" i="23" s="1"/>
  <c r="AD102" i="23" s="1"/>
  <c r="AC16" i="8"/>
  <c r="W40" i="8"/>
  <c r="V40" i="23" s="1"/>
  <c r="V92" i="23" s="1"/>
  <c r="W18" i="8"/>
  <c r="V18" i="23" s="1"/>
  <c r="V70" i="23" s="1"/>
  <c r="V34" i="8"/>
  <c r="V34" i="9"/>
  <c r="V25" i="8"/>
  <c r="V25" i="9"/>
  <c r="V6" i="8"/>
  <c r="V6" i="9"/>
  <c r="V49" i="8"/>
  <c r="U49" i="23" s="1"/>
  <c r="U101" i="23" s="1"/>
  <c r="V49" i="9"/>
  <c r="V50" i="8"/>
  <c r="V50" i="9"/>
  <c r="V39" i="8"/>
  <c r="V39" i="9"/>
  <c r="W26" i="8"/>
  <c r="V26" i="23" s="1"/>
  <c r="V78" i="23" s="1"/>
  <c r="AH18" i="8"/>
  <c r="AD18" i="23" s="1"/>
  <c r="AD70" i="23" s="1"/>
  <c r="AH47" i="8"/>
  <c r="AD47" i="23" s="1"/>
  <c r="AD99" i="23" s="1"/>
  <c r="AC18" i="8"/>
  <c r="AC24" i="8"/>
  <c r="Q24" i="8"/>
  <c r="Q24" i="23" s="1"/>
  <c r="Q76" i="23" s="1"/>
  <c r="Q31" i="8"/>
  <c r="Q31" i="23" s="1"/>
  <c r="Q83" i="23" s="1"/>
  <c r="W48" i="8"/>
  <c r="V48" i="23" s="1"/>
  <c r="V100" i="23" s="1"/>
  <c r="W31" i="8"/>
  <c r="V31" i="23" s="1"/>
  <c r="V83" i="23" s="1"/>
  <c r="N36" i="12"/>
  <c r="N36" i="13"/>
  <c r="N21" i="12"/>
  <c r="N21" i="24" s="1"/>
  <c r="N63" i="24" s="1"/>
  <c r="N21" i="13"/>
  <c r="N11" i="12"/>
  <c r="N11" i="13"/>
  <c r="N5" i="12"/>
  <c r="N43" i="11"/>
  <c r="N5" i="13"/>
  <c r="AI21" i="8"/>
  <c r="AE21" i="23" s="1"/>
  <c r="AE73" i="23" s="1"/>
  <c r="U27" i="12"/>
  <c r="U27" i="13"/>
  <c r="U20" i="12"/>
  <c r="U20" i="13"/>
  <c r="U40" i="12"/>
  <c r="U40" i="13"/>
  <c r="U7" i="12"/>
  <c r="U7" i="13"/>
  <c r="AH19" i="8"/>
  <c r="AD19" i="23" s="1"/>
  <c r="AD71" i="23" s="1"/>
  <c r="AH45" i="8"/>
  <c r="AD45" i="23" s="1"/>
  <c r="AD97" i="23" s="1"/>
  <c r="M39" i="9"/>
  <c r="Q40" i="8"/>
  <c r="Q40" i="23" s="1"/>
  <c r="Q92" i="23" s="1"/>
  <c r="W45" i="8"/>
  <c r="V45" i="23" s="1"/>
  <c r="V97" i="23" s="1"/>
  <c r="W15" i="8"/>
  <c r="V15" i="23" s="1"/>
  <c r="V67" i="23" s="1"/>
  <c r="R53" i="9"/>
  <c r="O21" i="12"/>
  <c r="O21" i="13"/>
  <c r="O14" i="12"/>
  <c r="O14" i="13"/>
  <c r="O37" i="12"/>
  <c r="O37" i="13"/>
  <c r="O25" i="12"/>
  <c r="O25" i="13"/>
  <c r="O6" i="12"/>
  <c r="O6" i="13"/>
  <c r="AI25" i="8"/>
  <c r="AE25" i="23" s="1"/>
  <c r="AE77" i="23" s="1"/>
  <c r="M41" i="9"/>
  <c r="AH42" i="8"/>
  <c r="AD42" i="23" s="1"/>
  <c r="AD94" i="23" s="1"/>
  <c r="AC9" i="8"/>
  <c r="V29" i="12"/>
  <c r="V29" i="13"/>
  <c r="V41" i="12"/>
  <c r="V41" i="13"/>
  <c r="V35" i="12"/>
  <c r="V35" i="13"/>
  <c r="V12" i="12"/>
  <c r="V12" i="13"/>
  <c r="V10" i="12"/>
  <c r="V10" i="13"/>
  <c r="O15" i="8"/>
  <c r="O15" i="23" s="1"/>
  <c r="O67" i="23" s="1"/>
  <c r="O43" i="8"/>
  <c r="O43" i="23" s="1"/>
  <c r="O95" i="23" s="1"/>
  <c r="AA20" i="11"/>
  <c r="Z20" i="12"/>
  <c r="AA20" i="12" s="1"/>
  <c r="Z20" i="13"/>
  <c r="AA20" i="13" s="1"/>
  <c r="AA33" i="11"/>
  <c r="Z33" i="12"/>
  <c r="AA33" i="12" s="1"/>
  <c r="Z33" i="13"/>
  <c r="AA33" i="13" s="1"/>
  <c r="Z22" i="12"/>
  <c r="AA22" i="12" s="1"/>
  <c r="AA22" i="11"/>
  <c r="Z22" i="13"/>
  <c r="AA22" i="13" s="1"/>
  <c r="Z8" i="12"/>
  <c r="AA8" i="12" s="1"/>
  <c r="AA8" i="11"/>
  <c r="Z8" i="13"/>
  <c r="AA8" i="13" s="1"/>
  <c r="D10" i="5"/>
  <c r="T56" i="6" s="1"/>
  <c r="P38" i="24" l="1"/>
  <c r="P80" i="24" s="1"/>
  <c r="P31" i="24"/>
  <c r="P73" i="24" s="1"/>
  <c r="O23" i="24"/>
  <c r="O65" i="24" s="1"/>
  <c r="N12" i="24"/>
  <c r="N54" i="24" s="1"/>
  <c r="P22" i="24"/>
  <c r="P64" i="24" s="1"/>
  <c r="O12" i="24"/>
  <c r="O54" i="24" s="1"/>
  <c r="P27" i="24"/>
  <c r="P69" i="24" s="1"/>
  <c r="T34" i="24"/>
  <c r="T76" i="24" s="1"/>
  <c r="O9" i="24"/>
  <c r="O51" i="24" s="1"/>
  <c r="O17" i="24"/>
  <c r="O59" i="24" s="1"/>
  <c r="N30" i="24"/>
  <c r="N72" i="24" s="1"/>
  <c r="W8" i="13"/>
  <c r="O5" i="24"/>
  <c r="O47" i="24" s="1"/>
  <c r="O8" i="24"/>
  <c r="O50" i="24" s="1"/>
  <c r="S9" i="24"/>
  <c r="S51" i="24" s="1"/>
  <c r="S37" i="24"/>
  <c r="S79" i="24" s="1"/>
  <c r="R40" i="24"/>
  <c r="R82" i="24" s="1"/>
  <c r="R32" i="24"/>
  <c r="R74" i="24" s="1"/>
  <c r="T16" i="24"/>
  <c r="T58" i="24" s="1"/>
  <c r="O22" i="24"/>
  <c r="O64" i="24" s="1"/>
  <c r="S18" i="24"/>
  <c r="S60" i="24" s="1"/>
  <c r="N25" i="24"/>
  <c r="N67" i="24" s="1"/>
  <c r="S20" i="24"/>
  <c r="S62" i="24" s="1"/>
  <c r="N11" i="24"/>
  <c r="N53" i="24" s="1"/>
  <c r="O38" i="24"/>
  <c r="O80" i="24" s="1"/>
  <c r="N14" i="24"/>
  <c r="N56" i="24" s="1"/>
  <c r="T9" i="24"/>
  <c r="T51" i="24" s="1"/>
  <c r="S24" i="24"/>
  <c r="S66" i="24" s="1"/>
  <c r="U23" i="23"/>
  <c r="U75" i="23" s="1"/>
  <c r="P32" i="24"/>
  <c r="P74" i="24" s="1"/>
  <c r="U35" i="23"/>
  <c r="U87" i="23" s="1"/>
  <c r="R27" i="24"/>
  <c r="R69" i="24" s="1"/>
  <c r="S39" i="24"/>
  <c r="S81" i="24" s="1"/>
  <c r="S10" i="24"/>
  <c r="S52" i="24" s="1"/>
  <c r="S32" i="24"/>
  <c r="S74" i="24" s="1"/>
  <c r="P25" i="24"/>
  <c r="P67" i="24" s="1"/>
  <c r="T13" i="24"/>
  <c r="T55" i="24" s="1"/>
  <c r="O30" i="24"/>
  <c r="O72" i="24" s="1"/>
  <c r="S28" i="24"/>
  <c r="S70" i="24" s="1"/>
  <c r="P26" i="24"/>
  <c r="P68" i="24" s="1"/>
  <c r="T23" i="24"/>
  <c r="T65" i="24" s="1"/>
  <c r="O10" i="24"/>
  <c r="O52" i="24" s="1"/>
  <c r="S36" i="24"/>
  <c r="S78" i="24" s="1"/>
  <c r="S19" i="24"/>
  <c r="S61" i="24" s="1"/>
  <c r="R29" i="24"/>
  <c r="R71" i="24" s="1"/>
  <c r="N36" i="24"/>
  <c r="N78" i="24" s="1"/>
  <c r="R15" i="24"/>
  <c r="R57" i="24" s="1"/>
  <c r="R7" i="24"/>
  <c r="R49" i="24" s="1"/>
  <c r="P15" i="24"/>
  <c r="P57" i="24" s="1"/>
  <c r="T7" i="24"/>
  <c r="T49" i="24" s="1"/>
  <c r="O39" i="24"/>
  <c r="O81" i="24" s="1"/>
  <c r="N16" i="24"/>
  <c r="N58" i="24" s="1"/>
  <c r="R5" i="24"/>
  <c r="R47" i="24" s="1"/>
  <c r="T28" i="24"/>
  <c r="T70" i="24" s="1"/>
  <c r="N19" i="24"/>
  <c r="N61" i="24" s="1"/>
  <c r="S12" i="24"/>
  <c r="S54" i="24" s="1"/>
  <c r="N8" i="24"/>
  <c r="N50" i="24" s="1"/>
  <c r="P35" i="24"/>
  <c r="P77" i="24" s="1"/>
  <c r="R10" i="24"/>
  <c r="R52" i="24" s="1"/>
  <c r="T15" i="24"/>
  <c r="T57" i="24" s="1"/>
  <c r="O24" i="24"/>
  <c r="O66" i="24" s="1"/>
  <c r="S8" i="24"/>
  <c r="S50" i="24" s="1"/>
  <c r="S26" i="24"/>
  <c r="S68" i="24" s="1"/>
  <c r="P41" i="24"/>
  <c r="P83" i="24" s="1"/>
  <c r="O13" i="24"/>
  <c r="O55" i="24" s="1"/>
  <c r="O35" i="24"/>
  <c r="O77" i="24" s="1"/>
  <c r="S6" i="24"/>
  <c r="S48" i="24" s="1"/>
  <c r="S22" i="24"/>
  <c r="S64" i="24" s="1"/>
  <c r="V6" i="24"/>
  <c r="V48" i="24" s="1"/>
  <c r="S7" i="24"/>
  <c r="S49" i="24" s="1"/>
  <c r="N13" i="24"/>
  <c r="N55" i="24" s="1"/>
  <c r="U24" i="23"/>
  <c r="U76" i="23" s="1"/>
  <c r="T8" i="24"/>
  <c r="T50" i="24" s="1"/>
  <c r="P23" i="24"/>
  <c r="P65" i="24" s="1"/>
  <c r="R16" i="24"/>
  <c r="R58" i="24" s="1"/>
  <c r="N40" i="24"/>
  <c r="N82" i="24" s="1"/>
  <c r="T30" i="24"/>
  <c r="T72" i="24" s="1"/>
  <c r="L47" i="11"/>
  <c r="N23" i="24"/>
  <c r="N65" i="24" s="1"/>
  <c r="U36" i="23"/>
  <c r="U88" i="23" s="1"/>
  <c r="O32" i="24"/>
  <c r="O74" i="24" s="1"/>
  <c r="S17" i="24"/>
  <c r="S59" i="24" s="1"/>
  <c r="T38" i="24"/>
  <c r="T80" i="24" s="1"/>
  <c r="T26" i="24"/>
  <c r="T68" i="24" s="1"/>
  <c r="O41" i="24"/>
  <c r="O83" i="24" s="1"/>
  <c r="S16" i="24"/>
  <c r="S58" i="24" s="1"/>
  <c r="P40" i="24"/>
  <c r="P82" i="24" s="1"/>
  <c r="R19" i="24"/>
  <c r="R61" i="24" s="1"/>
  <c r="S38" i="24"/>
  <c r="S80" i="24" s="1"/>
  <c r="R17" i="24"/>
  <c r="R59" i="24" s="1"/>
  <c r="O19" i="24"/>
  <c r="O61" i="24" s="1"/>
  <c r="S21" i="24"/>
  <c r="S63" i="24" s="1"/>
  <c r="R36" i="24"/>
  <c r="R78" i="24" s="1"/>
  <c r="S14" i="24"/>
  <c r="S56" i="24" s="1"/>
  <c r="S40" i="24"/>
  <c r="S82" i="24" s="1"/>
  <c r="N29" i="24"/>
  <c r="N71" i="24" s="1"/>
  <c r="T12" i="24"/>
  <c r="T54" i="24" s="1"/>
  <c r="O37" i="24"/>
  <c r="O79" i="24" s="1"/>
  <c r="U39" i="23"/>
  <c r="U91" i="23" s="1"/>
  <c r="U25" i="23"/>
  <c r="U77" i="23" s="1"/>
  <c r="P34" i="24"/>
  <c r="P76" i="24" s="1"/>
  <c r="W9" i="13"/>
  <c r="U41" i="23"/>
  <c r="U93" i="23" s="1"/>
  <c r="P5" i="24"/>
  <c r="P47" i="24" s="1"/>
  <c r="F11" i="26" s="1"/>
  <c r="P33" i="24"/>
  <c r="P75" i="24" s="1"/>
  <c r="R22" i="24"/>
  <c r="R64" i="24" s="1"/>
  <c r="S31" i="24"/>
  <c r="S73" i="24" s="1"/>
  <c r="U21" i="23"/>
  <c r="U73" i="23" s="1"/>
  <c r="P10" i="24"/>
  <c r="P52" i="24" s="1"/>
  <c r="P12" i="24"/>
  <c r="P54" i="24" s="1"/>
  <c r="R12" i="24"/>
  <c r="R54" i="24" s="1"/>
  <c r="R41" i="24"/>
  <c r="R83" i="24" s="1"/>
  <c r="T40" i="24"/>
  <c r="T82" i="24" s="1"/>
  <c r="O20" i="24"/>
  <c r="O62" i="24" s="1"/>
  <c r="U7" i="23"/>
  <c r="U59" i="23" s="1"/>
  <c r="P6" i="24"/>
  <c r="P48" i="24" s="1"/>
  <c r="R39" i="24"/>
  <c r="R81" i="24" s="1"/>
  <c r="N37" i="24"/>
  <c r="N79" i="24" s="1"/>
  <c r="N39" i="24"/>
  <c r="N81" i="24" s="1"/>
  <c r="N32" i="24"/>
  <c r="N74" i="24" s="1"/>
  <c r="P30" i="24"/>
  <c r="P72" i="24" s="1"/>
  <c r="T24" i="24"/>
  <c r="T66" i="24" s="1"/>
  <c r="N26" i="24"/>
  <c r="N68" i="24" s="1"/>
  <c r="P9" i="24"/>
  <c r="P51" i="24" s="1"/>
  <c r="N5" i="24"/>
  <c r="N47" i="24" s="1"/>
  <c r="V24" i="24"/>
  <c r="V66" i="24" s="1"/>
  <c r="V34" i="24"/>
  <c r="V76" i="24" s="1"/>
  <c r="W24" i="13"/>
  <c r="O14" i="24"/>
  <c r="O56" i="24" s="1"/>
  <c r="U50" i="23"/>
  <c r="U102" i="23" s="1"/>
  <c r="U34" i="23"/>
  <c r="U86" i="23" s="1"/>
  <c r="P7" i="24"/>
  <c r="P49" i="24" s="1"/>
  <c r="P39" i="24"/>
  <c r="P81" i="24" s="1"/>
  <c r="W20" i="12"/>
  <c r="S41" i="24"/>
  <c r="S83" i="24" s="1"/>
  <c r="P13" i="24"/>
  <c r="P55" i="24" s="1"/>
  <c r="R11" i="24"/>
  <c r="R53" i="24" s="1"/>
  <c r="R37" i="24"/>
  <c r="R79" i="24" s="1"/>
  <c r="N7" i="24"/>
  <c r="N49" i="24" s="1"/>
  <c r="R24" i="24"/>
  <c r="R66" i="24" s="1"/>
  <c r="O33" i="24"/>
  <c r="O75" i="24" s="1"/>
  <c r="P29" i="24"/>
  <c r="P71" i="24" s="1"/>
  <c r="O7" i="24"/>
  <c r="O49" i="24" s="1"/>
  <c r="O27" i="24"/>
  <c r="O69" i="24" s="1"/>
  <c r="N10" i="24"/>
  <c r="N52" i="24" s="1"/>
  <c r="R18" i="24"/>
  <c r="R60" i="24" s="1"/>
  <c r="R6" i="24"/>
  <c r="R48" i="24" s="1"/>
  <c r="N6" i="24"/>
  <c r="N48" i="24" s="1"/>
  <c r="N31" i="24"/>
  <c r="N73" i="24" s="1"/>
  <c r="N9" i="24"/>
  <c r="N51" i="24" s="1"/>
  <c r="P28" i="24"/>
  <c r="P70" i="24" s="1"/>
  <c r="T6" i="24"/>
  <c r="T48" i="24" s="1"/>
  <c r="J9" i="26" s="1"/>
  <c r="T18" i="24"/>
  <c r="T60" i="24" s="1"/>
  <c r="O31" i="24"/>
  <c r="O73" i="24" s="1"/>
  <c r="N15" i="24"/>
  <c r="N57" i="24" s="1"/>
  <c r="P8" i="24"/>
  <c r="P50" i="24" s="1"/>
  <c r="S27" i="24"/>
  <c r="S69" i="24" s="1"/>
  <c r="T27" i="24"/>
  <c r="T69" i="24" s="1"/>
  <c r="T11" i="24"/>
  <c r="T53" i="24" s="1"/>
  <c r="N27" i="24"/>
  <c r="N69" i="24" s="1"/>
  <c r="R35" i="24"/>
  <c r="R77" i="24" s="1"/>
  <c r="T31" i="24"/>
  <c r="T73" i="24" s="1"/>
  <c r="N20" i="24"/>
  <c r="N62" i="24" s="1"/>
  <c r="U10" i="23"/>
  <c r="U62" i="23" s="1"/>
  <c r="S15" i="24"/>
  <c r="S57" i="24" s="1"/>
  <c r="U37" i="23"/>
  <c r="U89" i="23" s="1"/>
  <c r="S35" i="24"/>
  <c r="S77" i="24" s="1"/>
  <c r="R14" i="24"/>
  <c r="R56" i="24" s="1"/>
  <c r="R34" i="24"/>
  <c r="R76" i="24" s="1"/>
  <c r="O36" i="24"/>
  <c r="O78" i="24" s="1"/>
  <c r="P19" i="24"/>
  <c r="P61" i="24" s="1"/>
  <c r="T19" i="24"/>
  <c r="T61" i="24" s="1"/>
  <c r="O11" i="24"/>
  <c r="O53" i="24" s="1"/>
  <c r="S30" i="24"/>
  <c r="S72" i="24" s="1"/>
  <c r="P16" i="24"/>
  <c r="P58" i="24" s="1"/>
  <c r="N17" i="24"/>
  <c r="N59" i="24" s="1"/>
  <c r="T5" i="24"/>
  <c r="T47" i="24" s="1"/>
  <c r="O28" i="24"/>
  <c r="O70" i="24" s="1"/>
  <c r="S11" i="24"/>
  <c r="S53" i="24" s="1"/>
  <c r="R13" i="24"/>
  <c r="R55" i="24" s="1"/>
  <c r="V22" i="24"/>
  <c r="V64" i="24" s="1"/>
  <c r="T41" i="24"/>
  <c r="T83" i="24" s="1"/>
  <c r="O6" i="24"/>
  <c r="O48" i="24" s="1"/>
  <c r="O21" i="24"/>
  <c r="O63" i="24" s="1"/>
  <c r="E7" i="26" s="1"/>
  <c r="E13" i="26" s="1"/>
  <c r="P18" i="24"/>
  <c r="P60" i="24" s="1"/>
  <c r="R25" i="24"/>
  <c r="R67" i="24" s="1"/>
  <c r="S5" i="24"/>
  <c r="S47" i="24" s="1"/>
  <c r="O15" i="24"/>
  <c r="O57" i="24" s="1"/>
  <c r="O16" i="24"/>
  <c r="O58" i="24" s="1"/>
  <c r="S23" i="24"/>
  <c r="S65" i="24" s="1"/>
  <c r="T21" i="24"/>
  <c r="T63" i="24" s="1"/>
  <c r="R23" i="24"/>
  <c r="R65" i="24" s="1"/>
  <c r="S34" i="24"/>
  <c r="S76" i="24" s="1"/>
  <c r="N35" i="24"/>
  <c r="N77" i="24" s="1"/>
  <c r="N22" i="24"/>
  <c r="N64" i="24" s="1"/>
  <c r="R21" i="24"/>
  <c r="R63" i="24" s="1"/>
  <c r="T37" i="24"/>
  <c r="T79" i="24" s="1"/>
  <c r="T22" i="24"/>
  <c r="T64" i="24" s="1"/>
  <c r="O40" i="24"/>
  <c r="O82" i="24" s="1"/>
  <c r="N24" i="24"/>
  <c r="N66" i="24" s="1"/>
  <c r="P14" i="24"/>
  <c r="P56" i="24" s="1"/>
  <c r="T10" i="24"/>
  <c r="T52" i="24" s="1"/>
  <c r="T29" i="24"/>
  <c r="T71" i="24" s="1"/>
  <c r="O25" i="24"/>
  <c r="O67" i="24" s="1"/>
  <c r="U6" i="23"/>
  <c r="U58" i="23" s="1"/>
  <c r="P37" i="24"/>
  <c r="P79" i="24" s="1"/>
  <c r="W15" i="12"/>
  <c r="S29" i="24"/>
  <c r="S71" i="24" s="1"/>
  <c r="I7" i="26" s="1"/>
  <c r="I13" i="26" s="1"/>
  <c r="U48" i="23"/>
  <c r="U100" i="23" s="1"/>
  <c r="P17" i="24"/>
  <c r="P59" i="24" s="1"/>
  <c r="O18" i="24"/>
  <c r="O60" i="24" s="1"/>
  <c r="O29" i="24"/>
  <c r="O71" i="24" s="1"/>
  <c r="S25" i="24"/>
  <c r="S67" i="24" s="1"/>
  <c r="P20" i="24"/>
  <c r="P62" i="24" s="1"/>
  <c r="P21" i="24"/>
  <c r="P63" i="24" s="1"/>
  <c r="T25" i="24"/>
  <c r="T67" i="24" s="1"/>
  <c r="O34" i="24"/>
  <c r="O76" i="24" s="1"/>
  <c r="N41" i="24"/>
  <c r="N83" i="24" s="1"/>
  <c r="R30" i="24"/>
  <c r="R72" i="24" s="1"/>
  <c r="N33" i="24"/>
  <c r="N75" i="24" s="1"/>
  <c r="P24" i="24"/>
  <c r="P66" i="24" s="1"/>
  <c r="T32" i="24"/>
  <c r="T74" i="24" s="1"/>
  <c r="N28" i="24"/>
  <c r="N70" i="24" s="1"/>
  <c r="P36" i="24"/>
  <c r="P78" i="24" s="1"/>
  <c r="R26" i="24"/>
  <c r="R68" i="24" s="1"/>
  <c r="V5" i="24"/>
  <c r="V47" i="24" s="1"/>
  <c r="L9" i="26" s="1"/>
  <c r="L15" i="26" s="1"/>
  <c r="N38" i="24"/>
  <c r="N80" i="24" s="1"/>
  <c r="P11" i="24"/>
  <c r="P53" i="24" s="1"/>
  <c r="R38" i="24"/>
  <c r="R80" i="24" s="1"/>
  <c r="V30" i="24"/>
  <c r="V72" i="24" s="1"/>
  <c r="G15" i="26"/>
  <c r="G14" i="26"/>
  <c r="I9" i="26"/>
  <c r="I11" i="26"/>
  <c r="D11" i="26"/>
  <c r="D9" i="26"/>
  <c r="H11" i="26"/>
  <c r="H9" i="26"/>
  <c r="E9" i="26"/>
  <c r="E11" i="26"/>
  <c r="F9" i="26"/>
  <c r="V26" i="24"/>
  <c r="V68" i="24" s="1"/>
  <c r="W35" i="12"/>
  <c r="M41" i="8"/>
  <c r="M41" i="23" s="1"/>
  <c r="M93" i="23" s="1"/>
  <c r="W9" i="12"/>
  <c r="AD20" i="8"/>
  <c r="AA20" i="23"/>
  <c r="AA72" i="23" s="1"/>
  <c r="AD28" i="8"/>
  <c r="AA28" i="23"/>
  <c r="AA80" i="23" s="1"/>
  <c r="AD47" i="8"/>
  <c r="AA47" i="23"/>
  <c r="AA99" i="23" s="1"/>
  <c r="M9" i="25"/>
  <c r="M11" i="25"/>
  <c r="M7" i="25"/>
  <c r="M13" i="25" s="1"/>
  <c r="V45" i="8"/>
  <c r="U45" i="23" s="1"/>
  <c r="U97" i="23" s="1"/>
  <c r="V12" i="8"/>
  <c r="U12" i="23" s="1"/>
  <c r="U64" i="23" s="1"/>
  <c r="AD43" i="8"/>
  <c r="AA43" i="23"/>
  <c r="AA95" i="23" s="1"/>
  <c r="W30" i="13"/>
  <c r="AD30" i="8"/>
  <c r="AA30" i="23"/>
  <c r="AA82" i="23" s="1"/>
  <c r="AD11" i="8"/>
  <c r="AA11" i="23"/>
  <c r="AA63" i="23" s="1"/>
  <c r="AB20" i="7"/>
  <c r="T11" i="25"/>
  <c r="T7" i="25"/>
  <c r="T13" i="25" s="1"/>
  <c r="V40" i="24"/>
  <c r="V82" i="24" s="1"/>
  <c r="V32" i="24"/>
  <c r="V74" i="24" s="1"/>
  <c r="V17" i="24"/>
  <c r="V59" i="24" s="1"/>
  <c r="V19" i="24"/>
  <c r="V61" i="24" s="1"/>
  <c r="R9" i="24"/>
  <c r="R51" i="24" s="1"/>
  <c r="V11" i="24"/>
  <c r="V53" i="24" s="1"/>
  <c r="T35" i="24"/>
  <c r="T77" i="24" s="1"/>
  <c r="V27" i="24"/>
  <c r="V69" i="24" s="1"/>
  <c r="V37" i="24"/>
  <c r="V79" i="24" s="1"/>
  <c r="V33" i="24"/>
  <c r="V75" i="24" s="1"/>
  <c r="L11" i="25"/>
  <c r="L7" i="25"/>
  <c r="L13" i="25" s="1"/>
  <c r="AD24" i="8"/>
  <c r="AA24" i="23"/>
  <c r="AA76" i="23" s="1"/>
  <c r="AD6" i="8"/>
  <c r="AA6" i="23"/>
  <c r="AA58" i="23" s="1"/>
  <c r="W11" i="13"/>
  <c r="AD34" i="8"/>
  <c r="AA34" i="23"/>
  <c r="AA86" i="23" s="1"/>
  <c r="AD17" i="8"/>
  <c r="AA17" i="23"/>
  <c r="AA69" i="23" s="1"/>
  <c r="AB41" i="7"/>
  <c r="AB24" i="7"/>
  <c r="V36" i="24"/>
  <c r="V78" i="24" s="1"/>
  <c r="AD31" i="8"/>
  <c r="AA31" i="23"/>
  <c r="AA83" i="23" s="1"/>
  <c r="V12" i="24"/>
  <c r="V54" i="24" s="1"/>
  <c r="V29" i="24"/>
  <c r="V71" i="24" s="1"/>
  <c r="V20" i="24"/>
  <c r="V62" i="24" s="1"/>
  <c r="AD19" i="8"/>
  <c r="AA19" i="23"/>
  <c r="AA71" i="23" s="1"/>
  <c r="U53" i="8"/>
  <c r="T14" i="23"/>
  <c r="T66" i="23" s="1"/>
  <c r="J7" i="25" s="1"/>
  <c r="J13" i="25" s="1"/>
  <c r="AD46" i="8"/>
  <c r="AA46" i="23"/>
  <c r="AA98" i="23" s="1"/>
  <c r="AD23" i="8"/>
  <c r="AA23" i="23"/>
  <c r="AA75" i="23" s="1"/>
  <c r="S43" i="12"/>
  <c r="AD27" i="8"/>
  <c r="AA27" i="23"/>
  <c r="AA79" i="23" s="1"/>
  <c r="L9" i="25"/>
  <c r="AD8" i="8"/>
  <c r="AA8" i="23"/>
  <c r="AA60" i="23" s="1"/>
  <c r="AB6" i="7"/>
  <c r="AD13" i="8"/>
  <c r="AA13" i="23"/>
  <c r="AA65" i="23" s="1"/>
  <c r="F11" i="25"/>
  <c r="F7" i="25"/>
  <c r="F13" i="25" s="1"/>
  <c r="V31" i="24"/>
  <c r="V73" i="24" s="1"/>
  <c r="V7" i="24"/>
  <c r="V49" i="24" s="1"/>
  <c r="P53" i="8"/>
  <c r="W25" i="12"/>
  <c r="AD21" i="8"/>
  <c r="AA21" i="23"/>
  <c r="AA73" i="23" s="1"/>
  <c r="AD15" i="8"/>
  <c r="AA15" i="23"/>
  <c r="AA67" i="23" s="1"/>
  <c r="AD7" i="8"/>
  <c r="AA7" i="23"/>
  <c r="AA59" i="23" s="1"/>
  <c r="W8" i="12"/>
  <c r="AD40" i="8"/>
  <c r="AA40" i="23"/>
  <c r="AA92" i="23" s="1"/>
  <c r="AD25" i="8"/>
  <c r="AA25" i="23"/>
  <c r="AA77" i="23" s="1"/>
  <c r="AB22" i="7"/>
  <c r="AB13" i="7"/>
  <c r="AB18" i="7"/>
  <c r="V10" i="24"/>
  <c r="V52" i="24" s="1"/>
  <c r="F9" i="25"/>
  <c r="R20" i="24"/>
  <c r="R62" i="24" s="1"/>
  <c r="V18" i="24"/>
  <c r="V60" i="24" s="1"/>
  <c r="G11" i="26"/>
  <c r="AD14" i="8"/>
  <c r="AA14" i="23"/>
  <c r="AA66" i="23" s="1"/>
  <c r="AD26" i="8"/>
  <c r="AA26" i="23"/>
  <c r="AA78" i="23" s="1"/>
  <c r="AD37" i="8"/>
  <c r="AA37" i="23"/>
  <c r="AA89" i="23" s="1"/>
  <c r="AD44" i="8"/>
  <c r="AA44" i="23"/>
  <c r="AA96" i="23" s="1"/>
  <c r="V25" i="24"/>
  <c r="V67" i="24" s="1"/>
  <c r="AD16" i="8"/>
  <c r="AA16" i="23"/>
  <c r="AA68" i="23" s="1"/>
  <c r="AD35" i="8"/>
  <c r="AA35" i="23"/>
  <c r="AA87" i="23" s="1"/>
  <c r="U9" i="25"/>
  <c r="AD29" i="8"/>
  <c r="AA29" i="23"/>
  <c r="AA81" i="23" s="1"/>
  <c r="V27" i="8"/>
  <c r="U27" i="23" s="1"/>
  <c r="U79" i="23" s="1"/>
  <c r="AD42" i="8"/>
  <c r="AA42" i="23"/>
  <c r="AA94" i="23" s="1"/>
  <c r="AB26" i="7"/>
  <c r="AB5" i="7"/>
  <c r="T9" i="25"/>
  <c r="V38" i="24"/>
  <c r="V80" i="24" s="1"/>
  <c r="B9" i="25"/>
  <c r="B7" i="25"/>
  <c r="B13" i="25" s="1"/>
  <c r="B11" i="25"/>
  <c r="V23" i="24"/>
  <c r="V65" i="24" s="1"/>
  <c r="T14" i="24"/>
  <c r="T56" i="24" s="1"/>
  <c r="J7" i="26" s="1"/>
  <c r="J13" i="26" s="1"/>
  <c r="G7" i="26"/>
  <c r="G13" i="26" s="1"/>
  <c r="AD49" i="8"/>
  <c r="AA49" i="23"/>
  <c r="AA101" i="23" s="1"/>
  <c r="L11" i="26"/>
  <c r="AD18" i="8"/>
  <c r="AA18" i="23"/>
  <c r="AA70" i="23" s="1"/>
  <c r="AD9" i="8"/>
  <c r="AA9" i="23"/>
  <c r="AA61" i="23" s="1"/>
  <c r="W32" i="13"/>
  <c r="G9" i="25"/>
  <c r="G7" i="25"/>
  <c r="G13" i="25" s="1"/>
  <c r="G11" i="25"/>
  <c r="AD10" i="8"/>
  <c r="AA10" i="23"/>
  <c r="AA62" i="23" s="1"/>
  <c r="AB28" i="7"/>
  <c r="AD32" i="8"/>
  <c r="AA32" i="23"/>
  <c r="AA84" i="23" s="1"/>
  <c r="V35" i="24"/>
  <c r="V77" i="24" s="1"/>
  <c r="V13" i="24"/>
  <c r="V55" i="24" s="1"/>
  <c r="V15" i="24"/>
  <c r="V57" i="24" s="1"/>
  <c r="E9" i="25"/>
  <c r="V21" i="24"/>
  <c r="V63" i="24" s="1"/>
  <c r="AD36" i="8"/>
  <c r="AA36" i="23"/>
  <c r="AA88" i="23" s="1"/>
  <c r="J11" i="25"/>
  <c r="E11" i="25"/>
  <c r="AB17" i="7"/>
  <c r="E7" i="25"/>
  <c r="E13" i="25" s="1"/>
  <c r="AD41" i="8"/>
  <c r="AA41" i="23"/>
  <c r="AA93" i="23" s="1"/>
  <c r="AD51" i="8"/>
  <c r="AA51" i="23"/>
  <c r="AA103" i="23" s="1"/>
  <c r="AD38" i="8"/>
  <c r="AA38" i="23"/>
  <c r="AA90" i="23" s="1"/>
  <c r="AD50" i="8"/>
  <c r="AA50" i="23"/>
  <c r="AA102" i="23" s="1"/>
  <c r="U11" i="25"/>
  <c r="U7" i="25"/>
  <c r="U13" i="25" s="1"/>
  <c r="AD22" i="8"/>
  <c r="AA22" i="23"/>
  <c r="AA74" i="23" s="1"/>
  <c r="AB14" i="7"/>
  <c r="AB12" i="7"/>
  <c r="AD39" i="8"/>
  <c r="AA39" i="23"/>
  <c r="AA91" i="23" s="1"/>
  <c r="AD48" i="8"/>
  <c r="AA48" i="23"/>
  <c r="AA100" i="23" s="1"/>
  <c r="AD45" i="8"/>
  <c r="AA45" i="23"/>
  <c r="AA97" i="23" s="1"/>
  <c r="C9" i="26"/>
  <c r="C7" i="26"/>
  <c r="C13" i="26" s="1"/>
  <c r="C11" i="26"/>
  <c r="V16" i="24"/>
  <c r="V58" i="24" s="1"/>
  <c r="V41" i="24"/>
  <c r="V83" i="24" s="1"/>
  <c r="V14" i="24"/>
  <c r="V56" i="24" s="1"/>
  <c r="V9" i="24"/>
  <c r="V51" i="24" s="1"/>
  <c r="AD12" i="8"/>
  <c r="AA12" i="23"/>
  <c r="AA64" i="23" s="1"/>
  <c r="V28" i="24"/>
  <c r="V70" i="24" s="1"/>
  <c r="V39" i="24"/>
  <c r="V81" i="24" s="1"/>
  <c r="R8" i="24"/>
  <c r="R50" i="24" s="1"/>
  <c r="V8" i="24"/>
  <c r="V50" i="24" s="1"/>
  <c r="M39" i="8"/>
  <c r="M39" i="23" s="1"/>
  <c r="M91" i="23" s="1"/>
  <c r="W20" i="13"/>
  <c r="M25" i="8"/>
  <c r="M25" i="23" s="1"/>
  <c r="M77" i="23" s="1"/>
  <c r="M44" i="8"/>
  <c r="M44" i="23" s="1"/>
  <c r="M96" i="23" s="1"/>
  <c r="W37" i="13"/>
  <c r="L53" i="8"/>
  <c r="V5" i="8"/>
  <c r="U5" i="23" s="1"/>
  <c r="U57" i="23" s="1"/>
  <c r="W31" i="12"/>
  <c r="W11" i="12"/>
  <c r="V42" i="8"/>
  <c r="U42" i="23" s="1"/>
  <c r="U94" i="23" s="1"/>
  <c r="W39" i="12"/>
  <c r="M48" i="8"/>
  <c r="M48" i="23" s="1"/>
  <c r="M100" i="23" s="1"/>
  <c r="M19" i="8"/>
  <c r="M19" i="23" s="1"/>
  <c r="M71" i="23" s="1"/>
  <c r="W33" i="13"/>
  <c r="V33" i="8"/>
  <c r="U33" i="23" s="1"/>
  <c r="U85" i="23" s="1"/>
  <c r="M20" i="8"/>
  <c r="M20" i="23" s="1"/>
  <c r="M72" i="23" s="1"/>
  <c r="W36" i="13"/>
  <c r="W33" i="12"/>
  <c r="W43" i="11"/>
  <c r="W12" i="12"/>
  <c r="W53" i="8"/>
  <c r="W36" i="12"/>
  <c r="M24" i="8"/>
  <c r="M24" i="23" s="1"/>
  <c r="M76" i="23" s="1"/>
  <c r="W28" i="13"/>
  <c r="T54" i="8"/>
  <c r="T54" i="9"/>
  <c r="T54" i="7"/>
  <c r="Y36" i="9"/>
  <c r="AB36" i="9" s="1"/>
  <c r="AB36" i="7"/>
  <c r="N43" i="12"/>
  <c r="W35" i="13"/>
  <c r="R39" i="8"/>
  <c r="R39" i="23" s="1"/>
  <c r="R91" i="23" s="1"/>
  <c r="R33" i="8"/>
  <c r="R33" i="23" s="1"/>
  <c r="R85" i="23" s="1"/>
  <c r="R48" i="8"/>
  <c r="R48" i="23" s="1"/>
  <c r="R100" i="23" s="1"/>
  <c r="R45" i="8"/>
  <c r="R45" i="23" s="1"/>
  <c r="R97" i="23" s="1"/>
  <c r="R18" i="8"/>
  <c r="R18" i="23" s="1"/>
  <c r="R70" i="23" s="1"/>
  <c r="R9" i="8"/>
  <c r="R9" i="23" s="1"/>
  <c r="R61" i="23" s="1"/>
  <c r="R19" i="8"/>
  <c r="R19" i="23" s="1"/>
  <c r="R71" i="23" s="1"/>
  <c r="R8" i="8"/>
  <c r="R8" i="23" s="1"/>
  <c r="R60" i="23" s="1"/>
  <c r="R46" i="8"/>
  <c r="R46" i="23" s="1"/>
  <c r="R98" i="23" s="1"/>
  <c r="R12" i="8"/>
  <c r="R12" i="23" s="1"/>
  <c r="R64" i="23" s="1"/>
  <c r="R21" i="8"/>
  <c r="R13" i="8"/>
  <c r="R13" i="23" s="1"/>
  <c r="R65" i="23" s="1"/>
  <c r="R32" i="8"/>
  <c r="R32" i="23" s="1"/>
  <c r="R84" i="23" s="1"/>
  <c r="R35" i="8"/>
  <c r="R35" i="23" s="1"/>
  <c r="R87" i="23" s="1"/>
  <c r="R11" i="8"/>
  <c r="R11" i="23" s="1"/>
  <c r="R63" i="23" s="1"/>
  <c r="R38" i="8"/>
  <c r="R38" i="23" s="1"/>
  <c r="R90" i="23" s="1"/>
  <c r="R44" i="8"/>
  <c r="R44" i="23" s="1"/>
  <c r="R96" i="23" s="1"/>
  <c r="R14" i="8"/>
  <c r="R14" i="23" s="1"/>
  <c r="R66" i="23" s="1"/>
  <c r="R50" i="8"/>
  <c r="R50" i="23" s="1"/>
  <c r="R102" i="23" s="1"/>
  <c r="R20" i="8"/>
  <c r="R20" i="23" s="1"/>
  <c r="R72" i="23" s="1"/>
  <c r="R49" i="8"/>
  <c r="R49" i="23" s="1"/>
  <c r="R101" i="23" s="1"/>
  <c r="R37" i="8"/>
  <c r="R37" i="23" s="1"/>
  <c r="R89" i="23" s="1"/>
  <c r="R26" i="8"/>
  <c r="R28" i="8"/>
  <c r="R6" i="8"/>
  <c r="R6" i="23" s="1"/>
  <c r="R58" i="23" s="1"/>
  <c r="R15" i="8"/>
  <c r="R15" i="23" s="1"/>
  <c r="R67" i="23" s="1"/>
  <c r="R43" i="8"/>
  <c r="R43" i="23" s="1"/>
  <c r="R95" i="23" s="1"/>
  <c r="R22" i="8"/>
  <c r="R27" i="8"/>
  <c r="R47" i="8"/>
  <c r="R47" i="23" s="1"/>
  <c r="R99" i="23" s="1"/>
  <c r="R31" i="8"/>
  <c r="R31" i="23" s="1"/>
  <c r="R83" i="23" s="1"/>
  <c r="R7" i="8"/>
  <c r="R7" i="23" s="1"/>
  <c r="R59" i="23" s="1"/>
  <c r="R51" i="8"/>
  <c r="R51" i="23" s="1"/>
  <c r="R103" i="23" s="1"/>
  <c r="R23" i="8"/>
  <c r="R17" i="8"/>
  <c r="R17" i="23" s="1"/>
  <c r="R69" i="23" s="1"/>
  <c r="R24" i="8"/>
  <c r="R25" i="8"/>
  <c r="R25" i="23" s="1"/>
  <c r="R77" i="23" s="1"/>
  <c r="R41" i="8"/>
  <c r="R41" i="23" s="1"/>
  <c r="R93" i="23" s="1"/>
  <c r="R34" i="8"/>
  <c r="R34" i="23" s="1"/>
  <c r="R86" i="23" s="1"/>
  <c r="R29" i="8"/>
  <c r="R10" i="8"/>
  <c r="R10" i="23" s="1"/>
  <c r="R62" i="23" s="1"/>
  <c r="R36" i="8"/>
  <c r="R36" i="23" s="1"/>
  <c r="R88" i="23" s="1"/>
  <c r="R40" i="8"/>
  <c r="R40" i="23" s="1"/>
  <c r="R92" i="23" s="1"/>
  <c r="R42" i="8"/>
  <c r="R42" i="23" s="1"/>
  <c r="R94" i="23" s="1"/>
  <c r="R16" i="8"/>
  <c r="R16" i="23" s="1"/>
  <c r="R68" i="23" s="1"/>
  <c r="R5" i="8"/>
  <c r="R5" i="23" s="1"/>
  <c r="R57" i="23" s="1"/>
  <c r="R30" i="8"/>
  <c r="R30" i="23" s="1"/>
  <c r="R82" i="23" s="1"/>
  <c r="M15" i="8"/>
  <c r="M15" i="23" s="1"/>
  <c r="M67" i="23" s="1"/>
  <c r="M46" i="8"/>
  <c r="M46" i="23" s="1"/>
  <c r="M98" i="23" s="1"/>
  <c r="M27" i="8"/>
  <c r="M27" i="23" s="1"/>
  <c r="M79" i="23" s="1"/>
  <c r="W18" i="13"/>
  <c r="AB44" i="12"/>
  <c r="X48" i="12" s="1"/>
  <c r="AB44" i="13"/>
  <c r="AB44" i="11"/>
  <c r="AB44" i="10"/>
  <c r="M12" i="8"/>
  <c r="M12" i="23" s="1"/>
  <c r="M64" i="23" s="1"/>
  <c r="V44" i="8"/>
  <c r="U44" i="23" s="1"/>
  <c r="U96" i="23" s="1"/>
  <c r="M16" i="8"/>
  <c r="M16" i="23" s="1"/>
  <c r="M68" i="23" s="1"/>
  <c r="M21" i="8"/>
  <c r="M21" i="23" s="1"/>
  <c r="M73" i="23" s="1"/>
  <c r="V47" i="8"/>
  <c r="U47" i="23" s="1"/>
  <c r="U99" i="23" s="1"/>
  <c r="V15" i="8"/>
  <c r="U15" i="23" s="1"/>
  <c r="U67" i="23" s="1"/>
  <c r="Y28" i="9"/>
  <c r="AB28" i="9" s="1"/>
  <c r="Y27" i="9"/>
  <c r="AB27" i="9" s="1"/>
  <c r="Y33" i="9"/>
  <c r="AB33" i="9" s="1"/>
  <c r="Y29" i="9"/>
  <c r="AB29" i="9" s="1"/>
  <c r="Y10" i="9"/>
  <c r="AB10" i="9" s="1"/>
  <c r="AB10" i="7"/>
  <c r="Y15" i="9"/>
  <c r="AB15" i="9" s="1"/>
  <c r="AB15" i="7"/>
  <c r="W6" i="12"/>
  <c r="V16" i="8"/>
  <c r="U16" i="23" s="1"/>
  <c r="U68" i="23" s="1"/>
  <c r="M22" i="8"/>
  <c r="M22" i="23" s="1"/>
  <c r="M74" i="23" s="1"/>
  <c r="AH53" i="8"/>
  <c r="W13" i="13"/>
  <c r="O43" i="13"/>
  <c r="W25" i="13"/>
  <c r="W32" i="12"/>
  <c r="W37" i="12"/>
  <c r="S33" i="8"/>
  <c r="S39" i="8"/>
  <c r="S36" i="8"/>
  <c r="S13" i="8"/>
  <c r="S22" i="8"/>
  <c r="S12" i="8"/>
  <c r="S21" i="8"/>
  <c r="S50" i="8"/>
  <c r="S24" i="8"/>
  <c r="S46" i="8"/>
  <c r="S32" i="8"/>
  <c r="S35" i="8"/>
  <c r="S11" i="8"/>
  <c r="S38" i="8"/>
  <c r="S45" i="8"/>
  <c r="S18" i="8"/>
  <c r="S44" i="8"/>
  <c r="S14" i="8"/>
  <c r="S8" i="8"/>
  <c r="S20" i="8"/>
  <c r="S37" i="8"/>
  <c r="S26" i="8"/>
  <c r="S28" i="8"/>
  <c r="S6" i="8"/>
  <c r="S15" i="8"/>
  <c r="S19" i="8"/>
  <c r="S31" i="8"/>
  <c r="S7" i="8"/>
  <c r="S51" i="8"/>
  <c r="S23" i="8"/>
  <c r="S17" i="8"/>
  <c r="S43" i="8"/>
  <c r="S9" i="8"/>
  <c r="S49" i="8"/>
  <c r="S34" i="8"/>
  <c r="S29" i="8"/>
  <c r="S10" i="8"/>
  <c r="S42" i="8"/>
  <c r="S16" i="8"/>
  <c r="S5" i="8"/>
  <c r="S30" i="8"/>
  <c r="S40" i="8"/>
  <c r="S48" i="8"/>
  <c r="S25" i="8"/>
  <c r="S41" i="8"/>
  <c r="S27" i="8"/>
  <c r="S47" i="8"/>
  <c r="W30" i="12"/>
  <c r="V18" i="8"/>
  <c r="U18" i="23" s="1"/>
  <c r="U70" i="23" s="1"/>
  <c r="W18" i="12"/>
  <c r="W14" i="13"/>
  <c r="W28" i="12"/>
  <c r="M42" i="8"/>
  <c r="M42" i="23" s="1"/>
  <c r="M94" i="23" s="1"/>
  <c r="W19" i="13"/>
  <c r="M40" i="8"/>
  <c r="M40" i="23" s="1"/>
  <c r="M92" i="23" s="1"/>
  <c r="M17" i="8"/>
  <c r="M17" i="23" s="1"/>
  <c r="M69" i="23" s="1"/>
  <c r="AA5" i="13"/>
  <c r="AA43" i="13" s="1"/>
  <c r="Z43" i="13"/>
  <c r="Y45" i="9"/>
  <c r="AB45" i="9" s="1"/>
  <c r="AB45" i="7"/>
  <c r="Y49" i="9"/>
  <c r="AB49" i="9" s="1"/>
  <c r="Y32" i="9"/>
  <c r="AB32" i="9" s="1"/>
  <c r="AB32" i="7"/>
  <c r="Y47" i="9"/>
  <c r="AB47" i="9" s="1"/>
  <c r="AB47" i="7"/>
  <c r="Y14" i="9"/>
  <c r="AB14" i="9" s="1"/>
  <c r="Y12" i="9"/>
  <c r="AB12" i="9" s="1"/>
  <c r="W13" i="12"/>
  <c r="M28" i="8"/>
  <c r="M28" i="23" s="1"/>
  <c r="M80" i="23" s="1"/>
  <c r="AI53" i="8"/>
  <c r="Y42" i="9"/>
  <c r="AB42" i="9" s="1"/>
  <c r="Y8" i="9"/>
  <c r="AB8" i="9" s="1"/>
  <c r="AB8" i="7"/>
  <c r="N55" i="9"/>
  <c r="N55" i="8"/>
  <c r="N55" i="7"/>
  <c r="N56" i="9"/>
  <c r="N56" i="8"/>
  <c r="N56" i="7"/>
  <c r="E35" i="5"/>
  <c r="L45" i="12"/>
  <c r="L45" i="13"/>
  <c r="L45" i="11"/>
  <c r="L45" i="10"/>
  <c r="M38" i="8"/>
  <c r="M38" i="23" s="1"/>
  <c r="M90" i="23" s="1"/>
  <c r="X53" i="8"/>
  <c r="M8" i="8"/>
  <c r="M8" i="23" s="1"/>
  <c r="M60" i="23" s="1"/>
  <c r="V32" i="8"/>
  <c r="U32" i="23" s="1"/>
  <c r="U84" i="23" s="1"/>
  <c r="M51" i="8"/>
  <c r="M51" i="23" s="1"/>
  <c r="M103" i="23" s="1"/>
  <c r="V51" i="8"/>
  <c r="U51" i="23" s="1"/>
  <c r="U103" i="23" s="1"/>
  <c r="V31" i="8"/>
  <c r="U31" i="23" s="1"/>
  <c r="U83" i="23" s="1"/>
  <c r="M47" i="8"/>
  <c r="M47" i="23" s="1"/>
  <c r="M99" i="23" s="1"/>
  <c r="W19" i="12"/>
  <c r="V43" i="13"/>
  <c r="V20" i="8"/>
  <c r="U20" i="23" s="1"/>
  <c r="U72" i="23" s="1"/>
  <c r="V11" i="8"/>
  <c r="U11" i="23" s="1"/>
  <c r="U63" i="23" s="1"/>
  <c r="W21" i="13"/>
  <c r="AA5" i="12"/>
  <c r="AA43" i="12" s="1"/>
  <c r="Z43" i="12"/>
  <c r="Y43" i="9"/>
  <c r="AB43" i="9" s="1"/>
  <c r="AB43" i="7"/>
  <c r="Y48" i="9"/>
  <c r="AB48" i="9" s="1"/>
  <c r="AB48" i="7"/>
  <c r="Y38" i="9"/>
  <c r="AB38" i="9" s="1"/>
  <c r="AB38" i="7"/>
  <c r="Y21" i="9"/>
  <c r="AB21" i="9" s="1"/>
  <c r="AB21" i="7"/>
  <c r="Y17" i="9"/>
  <c r="AB17" i="9" s="1"/>
  <c r="Y25" i="9"/>
  <c r="AB25" i="9" s="1"/>
  <c r="W22" i="12"/>
  <c r="V38" i="8"/>
  <c r="U38" i="23" s="1"/>
  <c r="U90" i="23" s="1"/>
  <c r="M9" i="8"/>
  <c r="M9" i="23" s="1"/>
  <c r="M61" i="23" s="1"/>
  <c r="W29" i="13"/>
  <c r="AB27" i="7"/>
  <c r="Y31" i="9"/>
  <c r="AB31" i="9" s="1"/>
  <c r="AB31" i="7"/>
  <c r="Y5" i="9"/>
  <c r="Y53" i="7"/>
  <c r="Y58" i="7" s="1"/>
  <c r="Y29" i="8" s="1"/>
  <c r="W15" i="13"/>
  <c r="M34" i="8"/>
  <c r="M34" i="23" s="1"/>
  <c r="M86" i="23" s="1"/>
  <c r="M18" i="8"/>
  <c r="M18" i="23" s="1"/>
  <c r="M70" i="23" s="1"/>
  <c r="M29" i="8"/>
  <c r="M29" i="23" s="1"/>
  <c r="M81" i="23" s="1"/>
  <c r="M14" i="8"/>
  <c r="M14" i="23" s="1"/>
  <c r="M66" i="23" s="1"/>
  <c r="W27" i="13"/>
  <c r="W41" i="13"/>
  <c r="M10" i="8"/>
  <c r="M10" i="23" s="1"/>
  <c r="M62" i="23" s="1"/>
  <c r="W23" i="13"/>
  <c r="M7" i="8"/>
  <c r="M7" i="23" s="1"/>
  <c r="M59" i="23" s="1"/>
  <c r="O43" i="12"/>
  <c r="AC53" i="8"/>
  <c r="M32" i="8"/>
  <c r="M32" i="23" s="1"/>
  <c r="M84" i="23" s="1"/>
  <c r="W21" i="12"/>
  <c r="AA43" i="11"/>
  <c r="Y44" i="9"/>
  <c r="AB44" i="9" s="1"/>
  <c r="Y50" i="9"/>
  <c r="AB50" i="9" s="1"/>
  <c r="AB50" i="7"/>
  <c r="Y34" i="9"/>
  <c r="AB34" i="9" s="1"/>
  <c r="Y51" i="9"/>
  <c r="AB51" i="9" s="1"/>
  <c r="AB51" i="7"/>
  <c r="Y20" i="9"/>
  <c r="AB20" i="9" s="1"/>
  <c r="Y9" i="9"/>
  <c r="AB9" i="9" s="1"/>
  <c r="AB9" i="7"/>
  <c r="M23" i="8"/>
  <c r="M23" i="23" s="1"/>
  <c r="M75" i="23" s="1"/>
  <c r="W29" i="12"/>
  <c r="W38" i="13"/>
  <c r="Y26" i="9"/>
  <c r="AB26" i="9" s="1"/>
  <c r="U43" i="13"/>
  <c r="W7" i="13"/>
  <c r="Q53" i="8"/>
  <c r="M35" i="8"/>
  <c r="M35" i="23" s="1"/>
  <c r="M87" i="23" s="1"/>
  <c r="W27" i="12"/>
  <c r="W41" i="12"/>
  <c r="V19" i="8"/>
  <c r="U19" i="23" s="1"/>
  <c r="U71" i="23" s="1"/>
  <c r="M50" i="8"/>
  <c r="M50" i="23" s="1"/>
  <c r="M102" i="23" s="1"/>
  <c r="W23" i="12"/>
  <c r="W34" i="13"/>
  <c r="W6" i="13"/>
  <c r="V30" i="8"/>
  <c r="U30" i="23" s="1"/>
  <c r="U82" i="23" s="1"/>
  <c r="V9" i="8"/>
  <c r="U9" i="23" s="1"/>
  <c r="U61" i="23" s="1"/>
  <c r="V43" i="12"/>
  <c r="M33" i="8"/>
  <c r="M33" i="23" s="1"/>
  <c r="M85" i="23" s="1"/>
  <c r="V26" i="8"/>
  <c r="U26" i="23" s="1"/>
  <c r="U78" i="23" s="1"/>
  <c r="W26" i="13"/>
  <c r="M30" i="8"/>
  <c r="M30" i="23" s="1"/>
  <c r="M82" i="23" s="1"/>
  <c r="M43" i="8"/>
  <c r="M43" i="23" s="1"/>
  <c r="M95" i="23" s="1"/>
  <c r="Y35" i="9"/>
  <c r="AB35" i="9" s="1"/>
  <c r="Y41" i="9"/>
  <c r="AB41" i="9" s="1"/>
  <c r="Y24" i="9"/>
  <c r="AB24" i="9" s="1"/>
  <c r="Y39" i="9"/>
  <c r="AB39" i="9" s="1"/>
  <c r="AB39" i="7"/>
  <c r="Y7" i="9"/>
  <c r="AB7" i="9" s="1"/>
  <c r="AB7" i="7"/>
  <c r="Y19" i="9"/>
  <c r="AB19" i="9" s="1"/>
  <c r="AB19" i="7"/>
  <c r="V43" i="8"/>
  <c r="U43" i="23" s="1"/>
  <c r="U95" i="23" s="1"/>
  <c r="V8" i="8"/>
  <c r="U8" i="23" s="1"/>
  <c r="U60" i="23" s="1"/>
  <c r="V28" i="8"/>
  <c r="U28" i="23" s="1"/>
  <c r="U80" i="23" s="1"/>
  <c r="AB49" i="7"/>
  <c r="AB35" i="7"/>
  <c r="M53" i="9"/>
  <c r="W40" i="13"/>
  <c r="M5" i="8"/>
  <c r="M5" i="23" s="1"/>
  <c r="M57" i="23" s="1"/>
  <c r="W40" i="12"/>
  <c r="O53" i="8"/>
  <c r="P43" i="12"/>
  <c r="W7" i="12"/>
  <c r="W24" i="12"/>
  <c r="M26" i="8"/>
  <c r="M26" i="23" s="1"/>
  <c r="M78" i="23" s="1"/>
  <c r="T43" i="13"/>
  <c r="W5" i="13"/>
  <c r="L48" i="10"/>
  <c r="V53" i="9"/>
  <c r="W10" i="13"/>
  <c r="W34" i="12"/>
  <c r="W38" i="12"/>
  <c r="M13" i="8"/>
  <c r="M13" i="23" s="1"/>
  <c r="M65" i="23" s="1"/>
  <c r="W17" i="13"/>
  <c r="M49" i="8"/>
  <c r="M49" i="23" s="1"/>
  <c r="M101" i="23" s="1"/>
  <c r="M6" i="8"/>
  <c r="M6" i="23" s="1"/>
  <c r="M58" i="23" s="1"/>
  <c r="W26" i="12"/>
  <c r="Y37" i="9"/>
  <c r="AB37" i="9" s="1"/>
  <c r="Y40" i="8"/>
  <c r="Y40" i="9"/>
  <c r="AB40" i="9" s="1"/>
  <c r="Y23" i="9"/>
  <c r="AB23" i="9" s="1"/>
  <c r="AB23" i="7"/>
  <c r="Y6" i="9"/>
  <c r="AB6" i="9" s="1"/>
  <c r="Y11" i="9"/>
  <c r="AB11" i="9" s="1"/>
  <c r="AB11" i="7"/>
  <c r="Y16" i="8"/>
  <c r="Y16" i="9"/>
  <c r="AB16" i="9" s="1"/>
  <c r="AB16" i="7"/>
  <c r="W16" i="13"/>
  <c r="AB25" i="7"/>
  <c r="F35" i="5"/>
  <c r="L46" i="12"/>
  <c r="L46" i="13"/>
  <c r="L46" i="11"/>
  <c r="L46" i="10"/>
  <c r="N43" i="13"/>
  <c r="P43" i="13"/>
  <c r="U43" i="12"/>
  <c r="W5" i="12"/>
  <c r="T43" i="12"/>
  <c r="W12" i="13"/>
  <c r="W10" i="12"/>
  <c r="W39" i="13"/>
  <c r="M45" i="8"/>
  <c r="M45" i="23" s="1"/>
  <c r="M97" i="23" s="1"/>
  <c r="V14" i="8"/>
  <c r="U14" i="23" s="1"/>
  <c r="U66" i="23" s="1"/>
  <c r="V29" i="8"/>
  <c r="U29" i="23" s="1"/>
  <c r="U81" i="23" s="1"/>
  <c r="W31" i="13"/>
  <c r="W17" i="12"/>
  <c r="V40" i="8"/>
  <c r="Y22" i="8"/>
  <c r="AB22" i="8" s="1"/>
  <c r="Y22" i="9"/>
  <c r="AB22" i="9" s="1"/>
  <c r="Y46" i="9"/>
  <c r="AB46" i="9" s="1"/>
  <c r="Y30" i="9"/>
  <c r="AB30" i="9" s="1"/>
  <c r="AB30" i="7"/>
  <c r="Y13" i="9"/>
  <c r="AB13" i="9" s="1"/>
  <c r="Y18" i="9"/>
  <c r="AB18" i="9" s="1"/>
  <c r="M11" i="8"/>
  <c r="M11" i="23" s="1"/>
  <c r="M63" i="23" s="1"/>
  <c r="V17" i="8"/>
  <c r="U17" i="23" s="1"/>
  <c r="U69" i="23" s="1"/>
  <c r="M36" i="8"/>
  <c r="M36" i="23" s="1"/>
  <c r="M88" i="23" s="1"/>
  <c r="W16" i="12"/>
  <c r="M31" i="8"/>
  <c r="M31" i="23" s="1"/>
  <c r="M83" i="23" s="1"/>
  <c r="AB34" i="7"/>
  <c r="AB44" i="7"/>
  <c r="E10" i="5"/>
  <c r="N57" i="6"/>
  <c r="F10" i="5"/>
  <c r="F29" i="5" s="1"/>
  <c r="N58" i="6"/>
  <c r="D47" i="5"/>
  <c r="D29" i="5"/>
  <c r="Y18" i="8" l="1"/>
  <c r="X18" i="23" s="1"/>
  <c r="X70" i="23" s="1"/>
  <c r="F47" i="5"/>
  <c r="Y30" i="8"/>
  <c r="X30" i="23" s="1"/>
  <c r="X82" i="23" s="1"/>
  <c r="D7" i="26"/>
  <c r="D13" i="26" s="1"/>
  <c r="X16" i="23"/>
  <c r="X68" i="23" s="1"/>
  <c r="C9" i="25"/>
  <c r="C15" i="25" s="1"/>
  <c r="Y13" i="8"/>
  <c r="AB13" i="8" s="1"/>
  <c r="E42" i="5"/>
  <c r="E21" i="5"/>
  <c r="L14" i="26"/>
  <c r="X29" i="23"/>
  <c r="X81" i="23" s="1"/>
  <c r="J9" i="25"/>
  <c r="J15" i="25" s="1"/>
  <c r="X40" i="23"/>
  <c r="X92" i="23" s="1"/>
  <c r="H7" i="26"/>
  <c r="H13" i="26" s="1"/>
  <c r="Q7" i="25"/>
  <c r="Q13" i="25" s="1"/>
  <c r="Q11" i="25"/>
  <c r="AD53" i="8"/>
  <c r="F7" i="26"/>
  <c r="F13" i="26" s="1"/>
  <c r="J11" i="26"/>
  <c r="H9" i="25"/>
  <c r="H15" i="25" s="1"/>
  <c r="H15" i="26"/>
  <c r="H14" i="26"/>
  <c r="AB40" i="8"/>
  <c r="U40" i="23"/>
  <c r="U92" i="23" s="1"/>
  <c r="K7" i="25" s="1"/>
  <c r="K13" i="25" s="1"/>
  <c r="Y50" i="8"/>
  <c r="I15" i="26"/>
  <c r="I14" i="26"/>
  <c r="Y36" i="8"/>
  <c r="C15" i="26"/>
  <c r="C14" i="26"/>
  <c r="Q9" i="25"/>
  <c r="K9" i="25"/>
  <c r="D15" i="26"/>
  <c r="D14" i="26"/>
  <c r="H7" i="25"/>
  <c r="H13" i="25" s="1"/>
  <c r="H11" i="25"/>
  <c r="Y39" i="8"/>
  <c r="Y20" i="8"/>
  <c r="X20" i="23" s="1"/>
  <c r="X72" i="23" s="1"/>
  <c r="C7" i="25"/>
  <c r="C13" i="25" s="1"/>
  <c r="C11" i="25"/>
  <c r="Y26" i="8"/>
  <c r="X26" i="23" s="1"/>
  <c r="X78" i="23" s="1"/>
  <c r="F15" i="26"/>
  <c r="F14" i="26"/>
  <c r="Y41" i="8"/>
  <c r="B15" i="25"/>
  <c r="B14" i="25"/>
  <c r="U15" i="25"/>
  <c r="U14" i="25"/>
  <c r="J15" i="26"/>
  <c r="J14" i="26"/>
  <c r="Y23" i="8"/>
  <c r="L7" i="26"/>
  <c r="L13" i="26" s="1"/>
  <c r="E15" i="25"/>
  <c r="E14" i="25"/>
  <c r="M14" i="25"/>
  <c r="M15" i="25"/>
  <c r="K11" i="25"/>
  <c r="G14" i="25"/>
  <c r="G15" i="25"/>
  <c r="T15" i="25"/>
  <c r="T14" i="25"/>
  <c r="F15" i="25"/>
  <c r="F14" i="25"/>
  <c r="X22" i="23"/>
  <c r="X74" i="23" s="1"/>
  <c r="L15" i="25"/>
  <c r="L14" i="25"/>
  <c r="E15" i="26"/>
  <c r="E14" i="26"/>
  <c r="Y43" i="8"/>
  <c r="AB53" i="7"/>
  <c r="Y42" i="8"/>
  <c r="AM58" i="6"/>
  <c r="AM56" i="9"/>
  <c r="AM56" i="8"/>
  <c r="AM56" i="7"/>
  <c r="L10" i="11"/>
  <c r="L8" i="11"/>
  <c r="L6" i="11"/>
  <c r="L9" i="11"/>
  <c r="L15" i="11"/>
  <c r="L7" i="11"/>
  <c r="L5" i="11"/>
  <c r="L40" i="11"/>
  <c r="L24" i="11"/>
  <c r="L32" i="11"/>
  <c r="L12" i="11"/>
  <c r="L18" i="11"/>
  <c r="L16" i="11"/>
  <c r="L13" i="11"/>
  <c r="L31" i="11"/>
  <c r="L25" i="11"/>
  <c r="L27" i="11"/>
  <c r="L22" i="11"/>
  <c r="L33" i="11"/>
  <c r="L11" i="11"/>
  <c r="L38" i="11"/>
  <c r="L28" i="11"/>
  <c r="L21" i="11"/>
  <c r="L35" i="11"/>
  <c r="L29" i="11"/>
  <c r="L23" i="11"/>
  <c r="L19" i="11"/>
  <c r="L30" i="11"/>
  <c r="L34" i="11"/>
  <c r="L26" i="11"/>
  <c r="L17" i="11"/>
  <c r="L39" i="11"/>
  <c r="L41" i="11"/>
  <c r="L20" i="11"/>
  <c r="L36" i="11"/>
  <c r="L14" i="11"/>
  <c r="L37" i="11"/>
  <c r="Y7" i="8"/>
  <c r="Y31" i="8"/>
  <c r="X31" i="23" s="1"/>
  <c r="X83" i="23" s="1"/>
  <c r="Y33" i="8"/>
  <c r="AM56" i="6"/>
  <c r="AM54" i="9"/>
  <c r="AM54" i="7"/>
  <c r="AM54" i="8" s="1"/>
  <c r="Y35" i="8"/>
  <c r="Y44" i="8"/>
  <c r="X44" i="23" s="1"/>
  <c r="X96" i="23" s="1"/>
  <c r="Y25" i="8"/>
  <c r="Y38" i="8"/>
  <c r="Y47" i="8"/>
  <c r="X47" i="23" s="1"/>
  <c r="X99" i="23" s="1"/>
  <c r="Y45" i="8"/>
  <c r="Y15" i="8"/>
  <c r="X15" i="23" s="1"/>
  <c r="X67" i="23" s="1"/>
  <c r="W43" i="13"/>
  <c r="AB30" i="8"/>
  <c r="Y51" i="8"/>
  <c r="V53" i="8"/>
  <c r="Y27" i="8"/>
  <c r="Y17" i="8"/>
  <c r="X17" i="23" s="1"/>
  <c r="X69" i="23" s="1"/>
  <c r="AB18" i="8"/>
  <c r="W43" i="12"/>
  <c r="T58" i="6"/>
  <c r="T56" i="9"/>
  <c r="T56" i="7"/>
  <c r="T56" i="8"/>
  <c r="AB29" i="8"/>
  <c r="F46" i="5"/>
  <c r="Q46" i="12"/>
  <c r="Q46" i="13"/>
  <c r="Q46" i="11"/>
  <c r="Q46" i="10"/>
  <c r="Y11" i="8"/>
  <c r="Y34" i="8"/>
  <c r="Y53" i="9"/>
  <c r="AB5" i="9"/>
  <c r="AB53" i="9" s="1"/>
  <c r="Y48" i="8"/>
  <c r="Q45" i="13"/>
  <c r="Q45" i="12"/>
  <c r="Q45" i="11"/>
  <c r="Q45" i="10"/>
  <c r="Y12" i="8"/>
  <c r="Y32" i="8"/>
  <c r="Y10" i="8"/>
  <c r="Y28" i="8"/>
  <c r="R53" i="8"/>
  <c r="S58" i="8" s="1"/>
  <c r="M53" i="8"/>
  <c r="Y19" i="8"/>
  <c r="Y24" i="8"/>
  <c r="AB26" i="8"/>
  <c r="Y9" i="8"/>
  <c r="Y5" i="8"/>
  <c r="X5" i="23" s="1"/>
  <c r="X57" i="23" s="1"/>
  <c r="Y8" i="8"/>
  <c r="S53" i="8"/>
  <c r="AB16" i="8"/>
  <c r="AB17" i="8"/>
  <c r="Y37" i="8"/>
  <c r="T57" i="6"/>
  <c r="T55" i="9"/>
  <c r="T55" i="8"/>
  <c r="T55" i="7"/>
  <c r="Y46" i="8"/>
  <c r="Y6" i="8"/>
  <c r="Y21" i="8"/>
  <c r="Y14" i="8"/>
  <c r="Y49" i="8"/>
  <c r="AB47" i="8" l="1"/>
  <c r="C14" i="25"/>
  <c r="AB31" i="8"/>
  <c r="X13" i="23"/>
  <c r="X65" i="23" s="1"/>
  <c r="J14" i="25"/>
  <c r="H14" i="25"/>
  <c r="AB15" i="8"/>
  <c r="AB49" i="8"/>
  <c r="X49" i="23"/>
  <c r="X101" i="23" s="1"/>
  <c r="AB32" i="8"/>
  <c r="X32" i="23"/>
  <c r="X84" i="23" s="1"/>
  <c r="AB24" i="8"/>
  <c r="X24" i="23"/>
  <c r="X76" i="23" s="1"/>
  <c r="AB34" i="8"/>
  <c r="X34" i="23"/>
  <c r="X86" i="23" s="1"/>
  <c r="AB38" i="8"/>
  <c r="X38" i="23"/>
  <c r="X90" i="23" s="1"/>
  <c r="AB50" i="8"/>
  <c r="X50" i="23"/>
  <c r="X102" i="23" s="1"/>
  <c r="AB6" i="8"/>
  <c r="X6" i="23"/>
  <c r="X58" i="23" s="1"/>
  <c r="AB19" i="8"/>
  <c r="X19" i="23"/>
  <c r="X71" i="23" s="1"/>
  <c r="AB11" i="8"/>
  <c r="X11" i="23"/>
  <c r="X63" i="23" s="1"/>
  <c r="AB51" i="8"/>
  <c r="X51" i="23"/>
  <c r="X103" i="23" s="1"/>
  <c r="AB25" i="8"/>
  <c r="X25" i="23"/>
  <c r="X77" i="23" s="1"/>
  <c r="K15" i="25"/>
  <c r="K14" i="25"/>
  <c r="Q15" i="25"/>
  <c r="Q14" i="25"/>
  <c r="AB35" i="8"/>
  <c r="X35" i="23"/>
  <c r="X87" i="23" s="1"/>
  <c r="AB41" i="8"/>
  <c r="X41" i="23"/>
  <c r="X93" i="23" s="1"/>
  <c r="AB39" i="8"/>
  <c r="X39" i="23"/>
  <c r="X91" i="23" s="1"/>
  <c r="AB7" i="8"/>
  <c r="X7" i="23"/>
  <c r="X59" i="23" s="1"/>
  <c r="AB8" i="8"/>
  <c r="X8" i="23"/>
  <c r="X60" i="23" s="1"/>
  <c r="AB44" i="8"/>
  <c r="AB42" i="8"/>
  <c r="X42" i="23"/>
  <c r="X94" i="23" s="1"/>
  <c r="AB9" i="8"/>
  <c r="X9" i="23"/>
  <c r="X61" i="23" s="1"/>
  <c r="AB21" i="8"/>
  <c r="X21" i="23"/>
  <c r="X73" i="23" s="1"/>
  <c r="AB46" i="8"/>
  <c r="X46" i="23"/>
  <c r="X98" i="23" s="1"/>
  <c r="AB28" i="8"/>
  <c r="X28" i="23"/>
  <c r="X80" i="23" s="1"/>
  <c r="AB20" i="8"/>
  <c r="AB10" i="8"/>
  <c r="X10" i="23"/>
  <c r="X62" i="23" s="1"/>
  <c r="AB48" i="8"/>
  <c r="X48" i="23"/>
  <c r="X100" i="23" s="1"/>
  <c r="AB43" i="8"/>
  <c r="X43" i="23"/>
  <c r="X95" i="23" s="1"/>
  <c r="AB23" i="8"/>
  <c r="X23" i="23"/>
  <c r="X75" i="23" s="1"/>
  <c r="AB45" i="8"/>
  <c r="X45" i="23"/>
  <c r="X97" i="23" s="1"/>
  <c r="AB14" i="8"/>
  <c r="X14" i="23"/>
  <c r="X66" i="23" s="1"/>
  <c r="AB37" i="8"/>
  <c r="X37" i="23"/>
  <c r="X89" i="23" s="1"/>
  <c r="AB12" i="8"/>
  <c r="X12" i="23"/>
  <c r="X64" i="23" s="1"/>
  <c r="AB27" i="8"/>
  <c r="X27" i="23"/>
  <c r="X79" i="23" s="1"/>
  <c r="AB33" i="8"/>
  <c r="X33" i="23"/>
  <c r="X85" i="23" s="1"/>
  <c r="AB36" i="8"/>
  <c r="X36" i="23"/>
  <c r="X88" i="23" s="1"/>
  <c r="AB46" i="12"/>
  <c r="AB46" i="13"/>
  <c r="AB46" i="11"/>
  <c r="AB46" i="10"/>
  <c r="Q20" i="11"/>
  <c r="AB20" i="11" s="1"/>
  <c r="L20" i="12"/>
  <c r="Q20" i="12" s="1"/>
  <c r="L20" i="13"/>
  <c r="Q20" i="13" s="1"/>
  <c r="Q23" i="11"/>
  <c r="AB23" i="11" s="1"/>
  <c r="L23" i="12"/>
  <c r="Q23" i="12" s="1"/>
  <c r="L23" i="13"/>
  <c r="Q23" i="13" s="1"/>
  <c r="Q22" i="11"/>
  <c r="AB22" i="11" s="1"/>
  <c r="L22" i="12"/>
  <c r="Q22" i="12" s="1"/>
  <c r="L22" i="13"/>
  <c r="Q22" i="13" s="1"/>
  <c r="Q32" i="11"/>
  <c r="AB32" i="11" s="1"/>
  <c r="L32" i="12"/>
  <c r="Q32" i="12" s="1"/>
  <c r="L32" i="13"/>
  <c r="Q32" i="13" s="1"/>
  <c r="Q8" i="11"/>
  <c r="AB8" i="11" s="1"/>
  <c r="L8" i="12"/>
  <c r="Q8" i="12" s="1"/>
  <c r="L8" i="13"/>
  <c r="Q8" i="13" s="1"/>
  <c r="Q12" i="11"/>
  <c r="AB12" i="11" s="1"/>
  <c r="L12" i="12"/>
  <c r="Q12" i="12" s="1"/>
  <c r="L12" i="13"/>
  <c r="Q12" i="13" s="1"/>
  <c r="Q41" i="11"/>
  <c r="AB41" i="11" s="1"/>
  <c r="L41" i="12"/>
  <c r="Q41" i="12" s="1"/>
  <c r="L41" i="13"/>
  <c r="Q41" i="13" s="1"/>
  <c r="Q29" i="11"/>
  <c r="AB29" i="11" s="1"/>
  <c r="L29" i="12"/>
  <c r="Q29" i="12" s="1"/>
  <c r="L29" i="13"/>
  <c r="Q29" i="13" s="1"/>
  <c r="Q27" i="11"/>
  <c r="AB27" i="11" s="1"/>
  <c r="L27" i="12"/>
  <c r="Q27" i="12" s="1"/>
  <c r="L27" i="13"/>
  <c r="Q27" i="13" s="1"/>
  <c r="Q24" i="11"/>
  <c r="AB24" i="11" s="1"/>
  <c r="L24" i="12"/>
  <c r="Q24" i="12" s="1"/>
  <c r="L24" i="13"/>
  <c r="Q24" i="13" s="1"/>
  <c r="Q10" i="11"/>
  <c r="AB10" i="11" s="1"/>
  <c r="L10" i="13"/>
  <c r="Q10" i="13" s="1"/>
  <c r="L10" i="12"/>
  <c r="Q10" i="12" s="1"/>
  <c r="Q33" i="11"/>
  <c r="AB33" i="11" s="1"/>
  <c r="L33" i="12"/>
  <c r="Q33" i="12" s="1"/>
  <c r="L33" i="13"/>
  <c r="Q33" i="13" s="1"/>
  <c r="AE55" i="9"/>
  <c r="AE55" i="8"/>
  <c r="AO54" i="8" s="1"/>
  <c r="AE55" i="7"/>
  <c r="Q39" i="11"/>
  <c r="AB39" i="11" s="1"/>
  <c r="L39" i="12"/>
  <c r="Q39" i="12" s="1"/>
  <c r="L39" i="13"/>
  <c r="Q39" i="13" s="1"/>
  <c r="Q35" i="11"/>
  <c r="AB35" i="11" s="1"/>
  <c r="L35" i="12"/>
  <c r="Q35" i="12" s="1"/>
  <c r="L35" i="13"/>
  <c r="Q35" i="13" s="1"/>
  <c r="Q25" i="11"/>
  <c r="AB25" i="11" s="1"/>
  <c r="L25" i="12"/>
  <c r="Q25" i="12" s="1"/>
  <c r="L25" i="13"/>
  <c r="Q25" i="13" s="1"/>
  <c r="Q40" i="11"/>
  <c r="AB40" i="11" s="1"/>
  <c r="L40" i="12"/>
  <c r="Q40" i="12" s="1"/>
  <c r="L40" i="13"/>
  <c r="Q40" i="13" s="1"/>
  <c r="Q36" i="11"/>
  <c r="AB36" i="11" s="1"/>
  <c r="L36" i="12"/>
  <c r="Q36" i="12" s="1"/>
  <c r="L36" i="13"/>
  <c r="Q36" i="13" s="1"/>
  <c r="S39" i="9"/>
  <c r="S39" i="23" s="1"/>
  <c r="S91" i="23" s="1"/>
  <c r="S33" i="9"/>
  <c r="S33" i="23" s="1"/>
  <c r="S85" i="23" s="1"/>
  <c r="S25" i="9"/>
  <c r="S25" i="23" s="1"/>
  <c r="S77" i="23" s="1"/>
  <c r="S27" i="9"/>
  <c r="S27" i="23" s="1"/>
  <c r="S79" i="23" s="1"/>
  <c r="S40" i="9"/>
  <c r="S40" i="23" s="1"/>
  <c r="S92" i="23" s="1"/>
  <c r="S48" i="9"/>
  <c r="S48" i="23" s="1"/>
  <c r="S100" i="23" s="1"/>
  <c r="S13" i="9"/>
  <c r="S13" i="23" s="1"/>
  <c r="S65" i="23" s="1"/>
  <c r="S22" i="9"/>
  <c r="S22" i="23" s="1"/>
  <c r="S74" i="23" s="1"/>
  <c r="S5" i="9"/>
  <c r="S5" i="23" s="1"/>
  <c r="S57" i="23" s="1"/>
  <c r="S47" i="9"/>
  <c r="S47" i="23" s="1"/>
  <c r="S99" i="23" s="1"/>
  <c r="S9" i="9"/>
  <c r="S9" i="23" s="1"/>
  <c r="S61" i="23" s="1"/>
  <c r="S24" i="9"/>
  <c r="S24" i="23" s="1"/>
  <c r="S76" i="23" s="1"/>
  <c r="S19" i="9"/>
  <c r="S19" i="23" s="1"/>
  <c r="S71" i="23" s="1"/>
  <c r="S17" i="9"/>
  <c r="S17" i="23" s="1"/>
  <c r="S69" i="23" s="1"/>
  <c r="S16" i="9"/>
  <c r="S16" i="23" s="1"/>
  <c r="S68" i="23" s="1"/>
  <c r="S10" i="9"/>
  <c r="S10" i="23" s="1"/>
  <c r="S62" i="23" s="1"/>
  <c r="S36" i="9"/>
  <c r="S36" i="23" s="1"/>
  <c r="S88" i="23" s="1"/>
  <c r="S45" i="9"/>
  <c r="S45" i="23" s="1"/>
  <c r="S97" i="23" s="1"/>
  <c r="S12" i="9"/>
  <c r="S12" i="23" s="1"/>
  <c r="S64" i="23" s="1"/>
  <c r="S50" i="9"/>
  <c r="S50" i="23" s="1"/>
  <c r="S102" i="23" s="1"/>
  <c r="S46" i="9"/>
  <c r="S46" i="23" s="1"/>
  <c r="S98" i="23" s="1"/>
  <c r="S8" i="9"/>
  <c r="S8" i="23" s="1"/>
  <c r="S60" i="23" s="1"/>
  <c r="S42" i="9"/>
  <c r="S42" i="23" s="1"/>
  <c r="S94" i="23" s="1"/>
  <c r="S32" i="9"/>
  <c r="S32" i="23" s="1"/>
  <c r="S84" i="23" s="1"/>
  <c r="S35" i="9"/>
  <c r="S35" i="23" s="1"/>
  <c r="S87" i="23" s="1"/>
  <c r="S11" i="9"/>
  <c r="S11" i="23" s="1"/>
  <c r="S63" i="23" s="1"/>
  <c r="S38" i="9"/>
  <c r="S38" i="23" s="1"/>
  <c r="S90" i="23" s="1"/>
  <c r="S18" i="9"/>
  <c r="S18" i="23" s="1"/>
  <c r="S70" i="23" s="1"/>
  <c r="S14" i="9"/>
  <c r="S14" i="23" s="1"/>
  <c r="S66" i="23" s="1"/>
  <c r="S21" i="9"/>
  <c r="S21" i="23" s="1"/>
  <c r="S73" i="23" s="1"/>
  <c r="S20" i="9"/>
  <c r="S20" i="23" s="1"/>
  <c r="S72" i="23" s="1"/>
  <c r="S26" i="9"/>
  <c r="S26" i="23" s="1"/>
  <c r="S78" i="23" s="1"/>
  <c r="S28" i="9"/>
  <c r="S28" i="23" s="1"/>
  <c r="S80" i="23" s="1"/>
  <c r="S44" i="9"/>
  <c r="S44" i="23" s="1"/>
  <c r="S96" i="23" s="1"/>
  <c r="S34" i="9"/>
  <c r="S34" i="23" s="1"/>
  <c r="S86" i="23" s="1"/>
  <c r="S30" i="9"/>
  <c r="S30" i="23" s="1"/>
  <c r="S82" i="23" s="1"/>
  <c r="S31" i="9"/>
  <c r="S31" i="23" s="1"/>
  <c r="S83" i="23" s="1"/>
  <c r="S49" i="9"/>
  <c r="S49" i="23" s="1"/>
  <c r="S101" i="23" s="1"/>
  <c r="S37" i="9"/>
  <c r="S37" i="23" s="1"/>
  <c r="S89" i="23" s="1"/>
  <c r="S6" i="9"/>
  <c r="S6" i="23" s="1"/>
  <c r="S58" i="23" s="1"/>
  <c r="S15" i="9"/>
  <c r="S15" i="23" s="1"/>
  <c r="S67" i="23" s="1"/>
  <c r="S23" i="9"/>
  <c r="S23" i="23" s="1"/>
  <c r="S75" i="23" s="1"/>
  <c r="S43" i="9"/>
  <c r="S43" i="23" s="1"/>
  <c r="S95" i="23" s="1"/>
  <c r="S7" i="9"/>
  <c r="S7" i="23" s="1"/>
  <c r="S59" i="23" s="1"/>
  <c r="S29" i="9"/>
  <c r="S29" i="23" s="1"/>
  <c r="S81" i="23" s="1"/>
  <c r="S51" i="9"/>
  <c r="S51" i="23" s="1"/>
  <c r="S103" i="23" s="1"/>
  <c r="S41" i="9"/>
  <c r="S41" i="23" s="1"/>
  <c r="S93" i="23" s="1"/>
  <c r="Q17" i="11"/>
  <c r="AB17" i="11" s="1"/>
  <c r="L17" i="12"/>
  <c r="Q17" i="12" s="1"/>
  <c r="L17" i="13"/>
  <c r="Q17" i="13" s="1"/>
  <c r="Q21" i="11"/>
  <c r="AB21" i="11" s="1"/>
  <c r="L21" i="12"/>
  <c r="Q21" i="12" s="1"/>
  <c r="L21" i="13"/>
  <c r="Q21" i="13" s="1"/>
  <c r="Q31" i="11"/>
  <c r="AB31" i="11" s="1"/>
  <c r="L31" i="12"/>
  <c r="Q31" i="12" s="1"/>
  <c r="L31" i="13"/>
  <c r="Q31" i="13" s="1"/>
  <c r="L43" i="11"/>
  <c r="L5" i="12"/>
  <c r="Q5" i="11"/>
  <c r="L5" i="13"/>
  <c r="Q6" i="11"/>
  <c r="AB6" i="11" s="1"/>
  <c r="L6" i="12"/>
  <c r="Q6" i="12" s="1"/>
  <c r="L6" i="13"/>
  <c r="Q6" i="13" s="1"/>
  <c r="Q19" i="11"/>
  <c r="AB19" i="11" s="1"/>
  <c r="L19" i="12"/>
  <c r="Q19" i="12" s="1"/>
  <c r="L19" i="13"/>
  <c r="Q19" i="13" s="1"/>
  <c r="E43" i="5"/>
  <c r="X45" i="13"/>
  <c r="X45" i="12"/>
  <c r="X45" i="11"/>
  <c r="X48" i="11" s="1"/>
  <c r="X45" i="10"/>
  <c r="Q26" i="11"/>
  <c r="AB26" i="11" s="1"/>
  <c r="L26" i="12"/>
  <c r="Q26" i="12" s="1"/>
  <c r="L26" i="13"/>
  <c r="Q26" i="13" s="1"/>
  <c r="Q28" i="11"/>
  <c r="AB28" i="11" s="1"/>
  <c r="L28" i="12"/>
  <c r="Q28" i="12" s="1"/>
  <c r="L28" i="13"/>
  <c r="Q28" i="13" s="1"/>
  <c r="Q13" i="11"/>
  <c r="AB13" i="11" s="1"/>
  <c r="L13" i="12"/>
  <c r="Q13" i="12" s="1"/>
  <c r="L13" i="13"/>
  <c r="Q13" i="13" s="1"/>
  <c r="Q7" i="11"/>
  <c r="AB7" i="11" s="1"/>
  <c r="L7" i="12"/>
  <c r="Q7" i="12" s="1"/>
  <c r="L7" i="13"/>
  <c r="Q7" i="13" s="1"/>
  <c r="Y53" i="8"/>
  <c r="AB5" i="8"/>
  <c r="Q37" i="11"/>
  <c r="AB37" i="11" s="1"/>
  <c r="L37" i="12"/>
  <c r="Q37" i="12" s="1"/>
  <c r="L37" i="13"/>
  <c r="Q37" i="13" s="1"/>
  <c r="Q34" i="11"/>
  <c r="AB34" i="11" s="1"/>
  <c r="L34" i="12"/>
  <c r="Q34" i="12" s="1"/>
  <c r="L34" i="13"/>
  <c r="Q34" i="13" s="1"/>
  <c r="Q38" i="11"/>
  <c r="AB38" i="11" s="1"/>
  <c r="L38" i="12"/>
  <c r="Q38" i="12" s="1"/>
  <c r="L38" i="13"/>
  <c r="Q38" i="13" s="1"/>
  <c r="Q16" i="11"/>
  <c r="AB16" i="11" s="1"/>
  <c r="L16" i="12"/>
  <c r="Q16" i="12" s="1"/>
  <c r="L16" i="13"/>
  <c r="Q16" i="13" s="1"/>
  <c r="Q15" i="11"/>
  <c r="AB15" i="11" s="1"/>
  <c r="L15" i="12"/>
  <c r="Q15" i="12" s="1"/>
  <c r="L15" i="13"/>
  <c r="Q15" i="13" s="1"/>
  <c r="Q14" i="11"/>
  <c r="AB14" i="11" s="1"/>
  <c r="L14" i="12"/>
  <c r="Q14" i="12" s="1"/>
  <c r="L14" i="13"/>
  <c r="Q14" i="13" s="1"/>
  <c r="Q30" i="11"/>
  <c r="AB30" i="11" s="1"/>
  <c r="L30" i="12"/>
  <c r="Q30" i="12" s="1"/>
  <c r="L30" i="13"/>
  <c r="Q30" i="13" s="1"/>
  <c r="Q11" i="11"/>
  <c r="AB11" i="11" s="1"/>
  <c r="L11" i="12"/>
  <c r="Q11" i="12" s="1"/>
  <c r="L11" i="13"/>
  <c r="Q11" i="13" s="1"/>
  <c r="Q18" i="11"/>
  <c r="AB18" i="11" s="1"/>
  <c r="L18" i="12"/>
  <c r="Q18" i="12" s="1"/>
  <c r="L18" i="13"/>
  <c r="Q18" i="13" s="1"/>
  <c r="Q9" i="11"/>
  <c r="AB9" i="11" s="1"/>
  <c r="L9" i="12"/>
  <c r="Q9" i="12" s="1"/>
  <c r="L9" i="13"/>
  <c r="Q9" i="13" s="1"/>
  <c r="E23" i="5"/>
  <c r="E47" i="5" s="1"/>
  <c r="AE57" i="6"/>
  <c r="L5" i="24" l="1"/>
  <c r="L47" i="24" s="1"/>
  <c r="L38" i="24"/>
  <c r="L80" i="24" s="1"/>
  <c r="L33" i="24"/>
  <c r="L75" i="24" s="1"/>
  <c r="L30" i="24"/>
  <c r="L72" i="24" s="1"/>
  <c r="N7" i="25"/>
  <c r="N13" i="25" s="1"/>
  <c r="N11" i="25"/>
  <c r="L41" i="24"/>
  <c r="L83" i="24" s="1"/>
  <c r="I9" i="25"/>
  <c r="L19" i="24"/>
  <c r="L61" i="24" s="1"/>
  <c r="N9" i="25"/>
  <c r="L14" i="24"/>
  <c r="L56" i="24" s="1"/>
  <c r="L34" i="24"/>
  <c r="L76" i="24" s="1"/>
  <c r="L36" i="24"/>
  <c r="L78" i="24" s="1"/>
  <c r="L37" i="24"/>
  <c r="L79" i="24" s="1"/>
  <c r="L40" i="24"/>
  <c r="L82" i="24" s="1"/>
  <c r="AB53" i="8"/>
  <c r="L32" i="24"/>
  <c r="L74" i="24" s="1"/>
  <c r="L31" i="24"/>
  <c r="L73" i="24" s="1"/>
  <c r="L25" i="24"/>
  <c r="L67" i="24" s="1"/>
  <c r="L10" i="24"/>
  <c r="L52" i="24" s="1"/>
  <c r="L23" i="24"/>
  <c r="L65" i="24" s="1"/>
  <c r="L8" i="24"/>
  <c r="L50" i="24" s="1"/>
  <c r="L21" i="24"/>
  <c r="L63" i="24" s="1"/>
  <c r="L35" i="24"/>
  <c r="L77" i="24" s="1"/>
  <c r="L24" i="24"/>
  <c r="L66" i="24" s="1"/>
  <c r="L20" i="24"/>
  <c r="L62" i="24" s="1"/>
  <c r="L22" i="24"/>
  <c r="L64" i="24" s="1"/>
  <c r="L9" i="24"/>
  <c r="L51" i="24" s="1"/>
  <c r="L7" i="24"/>
  <c r="L49" i="24" s="1"/>
  <c r="L26" i="24"/>
  <c r="L68" i="24" s="1"/>
  <c r="L17" i="24"/>
  <c r="L59" i="24" s="1"/>
  <c r="L39" i="24"/>
  <c r="L81" i="24" s="1"/>
  <c r="L27" i="24"/>
  <c r="L69" i="24" s="1"/>
  <c r="L6" i="24"/>
  <c r="L48" i="24" s="1"/>
  <c r="B9" i="26" s="1"/>
  <c r="L18" i="24"/>
  <c r="L60" i="24" s="1"/>
  <c r="L13" i="24"/>
  <c r="L55" i="24" s="1"/>
  <c r="L15" i="24"/>
  <c r="L57" i="24" s="1"/>
  <c r="I11" i="25"/>
  <c r="I7" i="25"/>
  <c r="I13" i="25" s="1"/>
  <c r="L29" i="24"/>
  <c r="L71" i="24" s="1"/>
  <c r="L12" i="24"/>
  <c r="L54" i="24" s="1"/>
  <c r="L11" i="24"/>
  <c r="L53" i="24" s="1"/>
  <c r="L28" i="24"/>
  <c r="L70" i="24" s="1"/>
  <c r="L16" i="24"/>
  <c r="L58" i="24" s="1"/>
  <c r="X23" i="12"/>
  <c r="Y23" i="12" s="1"/>
  <c r="X23" i="13"/>
  <c r="X6" i="12"/>
  <c r="Y6" i="12" s="1"/>
  <c r="X6" i="13"/>
  <c r="X35" i="12"/>
  <c r="Y35" i="12" s="1"/>
  <c r="AB35" i="12" s="1"/>
  <c r="X35" i="13"/>
  <c r="X41" i="12"/>
  <c r="Y41" i="12" s="1"/>
  <c r="AB41" i="12" s="1"/>
  <c r="X41" i="13"/>
  <c r="X31" i="12"/>
  <c r="Y31" i="12" s="1"/>
  <c r="X31" i="13"/>
  <c r="X24" i="12"/>
  <c r="Y24" i="12" s="1"/>
  <c r="X24" i="13"/>
  <c r="X38" i="12"/>
  <c r="Y38" i="12" s="1"/>
  <c r="AB38" i="12" s="1"/>
  <c r="X38" i="13"/>
  <c r="Q5" i="13"/>
  <c r="L43" i="13"/>
  <c r="X33" i="12"/>
  <c r="Y33" i="12" s="1"/>
  <c r="AB33" i="12" s="1"/>
  <c r="X33" i="13"/>
  <c r="X32" i="12"/>
  <c r="Y32" i="12" s="1"/>
  <c r="AB32" i="12" s="1"/>
  <c r="X32" i="13"/>
  <c r="X13" i="12"/>
  <c r="Y13" i="12" s="1"/>
  <c r="X13" i="13"/>
  <c r="X14" i="12"/>
  <c r="Y14" i="12" s="1"/>
  <c r="AB14" i="12" s="1"/>
  <c r="X14" i="13"/>
  <c r="AG57" i="6"/>
  <c r="AG55" i="9"/>
  <c r="AG55" i="8"/>
  <c r="AG55" i="7"/>
  <c r="X11" i="12"/>
  <c r="Y11" i="12" s="1"/>
  <c r="AB11" i="12" s="1"/>
  <c r="X11" i="13"/>
  <c r="X28" i="12"/>
  <c r="Y28" i="12" s="1"/>
  <c r="AB28" i="12" s="1"/>
  <c r="X28" i="13"/>
  <c r="E46" i="5"/>
  <c r="Y45" i="13"/>
  <c r="Y45" i="12"/>
  <c r="Y45" i="10"/>
  <c r="Y45" i="11"/>
  <c r="AB5" i="11"/>
  <c r="Q43" i="11"/>
  <c r="X21" i="12"/>
  <c r="Y21" i="12" s="1"/>
  <c r="AB21" i="12" s="1"/>
  <c r="X21" i="13"/>
  <c r="X40" i="12"/>
  <c r="Y40" i="12" s="1"/>
  <c r="AB40" i="12" s="1"/>
  <c r="X40" i="13"/>
  <c r="X27" i="12"/>
  <c r="Y27" i="12" s="1"/>
  <c r="AB27" i="12" s="1"/>
  <c r="X27" i="13"/>
  <c r="X20" i="12"/>
  <c r="Y20" i="12" s="1"/>
  <c r="AB20" i="12" s="1"/>
  <c r="X20" i="13"/>
  <c r="X15" i="12"/>
  <c r="Y15" i="12" s="1"/>
  <c r="AB15" i="12" s="1"/>
  <c r="X15" i="13"/>
  <c r="Q5" i="12"/>
  <c r="L43" i="12"/>
  <c r="X39" i="12"/>
  <c r="Y39" i="12" s="1"/>
  <c r="AB39" i="12" s="1"/>
  <c r="X39" i="13"/>
  <c r="X12" i="12"/>
  <c r="Y12" i="12" s="1"/>
  <c r="AB12" i="12" s="1"/>
  <c r="X12" i="13"/>
  <c r="AB6" i="12"/>
  <c r="X9" i="12"/>
  <c r="Y9" i="12" s="1"/>
  <c r="AB9" i="12" s="1"/>
  <c r="X9" i="13"/>
  <c r="X34" i="12"/>
  <c r="Y34" i="12" s="1"/>
  <c r="AB34" i="12" s="1"/>
  <c r="X34" i="13"/>
  <c r="X7" i="12"/>
  <c r="Y7" i="12" s="1"/>
  <c r="AB7" i="12" s="1"/>
  <c r="X7" i="13"/>
  <c r="S53" i="9"/>
  <c r="X10" i="12"/>
  <c r="Y10" i="12" s="1"/>
  <c r="AB10" i="12" s="1"/>
  <c r="X10" i="13"/>
  <c r="X22" i="12"/>
  <c r="Y22" i="12" s="1"/>
  <c r="AB22" i="12" s="1"/>
  <c r="X22" i="13"/>
  <c r="X18" i="12"/>
  <c r="Y18" i="12" s="1"/>
  <c r="AB18" i="12" s="1"/>
  <c r="X18" i="13"/>
  <c r="X36" i="12"/>
  <c r="Y36" i="12" s="1"/>
  <c r="AB36" i="12" s="1"/>
  <c r="X36" i="13"/>
  <c r="X26" i="12"/>
  <c r="Y26" i="12" s="1"/>
  <c r="AB26" i="12" s="1"/>
  <c r="X26" i="13"/>
  <c r="X19" i="12"/>
  <c r="Y19" i="12" s="1"/>
  <c r="AB19" i="12" s="1"/>
  <c r="X19" i="13"/>
  <c r="X17" i="12"/>
  <c r="Y17" i="12" s="1"/>
  <c r="AB17" i="12" s="1"/>
  <c r="X17" i="13"/>
  <c r="X25" i="12"/>
  <c r="Y25" i="12" s="1"/>
  <c r="AB25" i="12" s="1"/>
  <c r="X25" i="13"/>
  <c r="X29" i="12"/>
  <c r="Y29" i="12" s="1"/>
  <c r="AB29" i="12" s="1"/>
  <c r="X29" i="13"/>
  <c r="X37" i="12"/>
  <c r="Y37" i="12" s="1"/>
  <c r="AB37" i="12" s="1"/>
  <c r="X37" i="13"/>
  <c r="X30" i="12"/>
  <c r="Y30" i="12" s="1"/>
  <c r="AB30" i="12" s="1"/>
  <c r="X30" i="13"/>
  <c r="X16" i="12"/>
  <c r="Y16" i="12" s="1"/>
  <c r="AB16" i="12" s="1"/>
  <c r="X16" i="13"/>
  <c r="AB13" i="12"/>
  <c r="AB31" i="12"/>
  <c r="AB24" i="12"/>
  <c r="X8" i="12"/>
  <c r="Y8" i="12" s="1"/>
  <c r="AB8" i="12" s="1"/>
  <c r="X8" i="13"/>
  <c r="AB23" i="12"/>
  <c r="E29" i="5"/>
  <c r="B15" i="26" l="1"/>
  <c r="B14" i="26"/>
  <c r="N15" i="25"/>
  <c r="N14" i="25"/>
  <c r="I15" i="25"/>
  <c r="I14" i="25"/>
  <c r="B7" i="26"/>
  <c r="B13" i="26" s="1"/>
  <c r="B11" i="26"/>
  <c r="Y10" i="13"/>
  <c r="AB10" i="13" s="1"/>
  <c r="S9" i="28" s="1"/>
  <c r="U10" i="24"/>
  <c r="U52" i="24" s="1"/>
  <c r="Y15" i="13"/>
  <c r="AB15" i="13" s="1"/>
  <c r="S8" i="28" s="1"/>
  <c r="U15" i="24"/>
  <c r="U57" i="24" s="1"/>
  <c r="Y32" i="13"/>
  <c r="AB32" i="13" s="1"/>
  <c r="U32" i="24"/>
  <c r="U74" i="24" s="1"/>
  <c r="Y24" i="13"/>
  <c r="AB24" i="13" s="1"/>
  <c r="S17" i="28" s="1"/>
  <c r="U24" i="24"/>
  <c r="U66" i="24" s="1"/>
  <c r="Y9" i="13"/>
  <c r="AB9" i="13" s="1"/>
  <c r="S7" i="28" s="1"/>
  <c r="U9" i="24"/>
  <c r="U51" i="24" s="1"/>
  <c r="Y36" i="13"/>
  <c r="AB36" i="13" s="1"/>
  <c r="S28" i="28" s="1"/>
  <c r="U36" i="24"/>
  <c r="U78" i="24" s="1"/>
  <c r="Y12" i="13"/>
  <c r="AB12" i="13" s="1"/>
  <c r="AA58" i="17" s="1"/>
  <c r="U12" i="24"/>
  <c r="U54" i="24" s="1"/>
  <c r="Y33" i="13"/>
  <c r="AB33" i="13" s="1"/>
  <c r="U33" i="24"/>
  <c r="U75" i="24" s="1"/>
  <c r="Y31" i="13"/>
  <c r="AB31" i="13" s="1"/>
  <c r="U31" i="24"/>
  <c r="U73" i="24" s="1"/>
  <c r="Y6" i="13"/>
  <c r="AB6" i="13" s="1"/>
  <c r="U6" i="24"/>
  <c r="U48" i="24" s="1"/>
  <c r="Y26" i="13"/>
  <c r="AB26" i="13" s="1"/>
  <c r="S19" i="28" s="1"/>
  <c r="U26" i="24"/>
  <c r="U68" i="24" s="1"/>
  <c r="Y21" i="13"/>
  <c r="AB21" i="13" s="1"/>
  <c r="S13" i="28" s="1"/>
  <c r="U21" i="24"/>
  <c r="U63" i="24" s="1"/>
  <c r="Y17" i="13"/>
  <c r="AB17" i="13" s="1"/>
  <c r="U17" i="24"/>
  <c r="U59" i="24" s="1"/>
  <c r="Y7" i="13"/>
  <c r="AB7" i="13" s="1"/>
  <c r="S5" i="28" s="1"/>
  <c r="U7" i="24"/>
  <c r="U49" i="24" s="1"/>
  <c r="Y18" i="13"/>
  <c r="AB18" i="13" s="1"/>
  <c r="U18" i="24"/>
  <c r="U60" i="24" s="1"/>
  <c r="Y39" i="13"/>
  <c r="AB39" i="13" s="1"/>
  <c r="S30" i="28" s="1"/>
  <c r="U39" i="24"/>
  <c r="U81" i="24" s="1"/>
  <c r="Y20" i="13"/>
  <c r="AB20" i="13" s="1"/>
  <c r="S12" i="28" s="1"/>
  <c r="U20" i="24"/>
  <c r="U62" i="24" s="1"/>
  <c r="Y28" i="13"/>
  <c r="AB28" i="13" s="1"/>
  <c r="S22" i="28" s="1"/>
  <c r="U28" i="24"/>
  <c r="U70" i="24" s="1"/>
  <c r="Y14" i="13"/>
  <c r="AB14" i="13" s="1"/>
  <c r="AA76" i="17" s="1"/>
  <c r="U14" i="24"/>
  <c r="U56" i="24" s="1"/>
  <c r="Y35" i="13"/>
  <c r="AB35" i="13" s="1"/>
  <c r="S27" i="28" s="1"/>
  <c r="U35" i="24"/>
  <c r="U77" i="24" s="1"/>
  <c r="Y19" i="13"/>
  <c r="AB19" i="13" s="1"/>
  <c r="U19" i="24"/>
  <c r="U61" i="24" s="1"/>
  <c r="Y34" i="13"/>
  <c r="AB34" i="13" s="1"/>
  <c r="U34" i="24"/>
  <c r="U76" i="24" s="1"/>
  <c r="Y41" i="13"/>
  <c r="AB41" i="13" s="1"/>
  <c r="S33" i="28" s="1"/>
  <c r="U41" i="24"/>
  <c r="U83" i="24" s="1"/>
  <c r="Y23" i="13"/>
  <c r="AB23" i="13" s="1"/>
  <c r="U23" i="24"/>
  <c r="U65" i="24" s="1"/>
  <c r="Y27" i="13"/>
  <c r="AB27" i="13" s="1"/>
  <c r="U27" i="24"/>
  <c r="U69" i="24" s="1"/>
  <c r="Y30" i="13"/>
  <c r="AB30" i="13" s="1"/>
  <c r="S24" i="28" s="1"/>
  <c r="U30" i="24"/>
  <c r="U72" i="24" s="1"/>
  <c r="Y25" i="13"/>
  <c r="AB25" i="13" s="1"/>
  <c r="S18" i="28" s="1"/>
  <c r="U25" i="24"/>
  <c r="U67" i="24" s="1"/>
  <c r="Y40" i="13"/>
  <c r="AB40" i="13" s="1"/>
  <c r="S32" i="28" s="1"/>
  <c r="U40" i="24"/>
  <c r="U82" i="24" s="1"/>
  <c r="Y37" i="13"/>
  <c r="AB37" i="13" s="1"/>
  <c r="S29" i="28" s="1"/>
  <c r="U37" i="24"/>
  <c r="U79" i="24" s="1"/>
  <c r="Y8" i="13"/>
  <c r="AB8" i="13" s="1"/>
  <c r="S6" i="28" s="1"/>
  <c r="U8" i="24"/>
  <c r="U50" i="24" s="1"/>
  <c r="Y16" i="13"/>
  <c r="AB16" i="13" s="1"/>
  <c r="S10" i="28" s="1"/>
  <c r="U16" i="24"/>
  <c r="U58" i="24" s="1"/>
  <c r="Y29" i="13"/>
  <c r="AB29" i="13" s="1"/>
  <c r="S23" i="28" s="1"/>
  <c r="U29" i="24"/>
  <c r="U71" i="24" s="1"/>
  <c r="Y22" i="13"/>
  <c r="AB22" i="13" s="1"/>
  <c r="S14" i="28" s="1"/>
  <c r="U22" i="24"/>
  <c r="U64" i="24" s="1"/>
  <c r="Y11" i="13"/>
  <c r="AB11" i="13" s="1"/>
  <c r="S11" i="28" s="1"/>
  <c r="U11" i="24"/>
  <c r="U53" i="24" s="1"/>
  <c r="Y13" i="13"/>
  <c r="AB13" i="13" s="1"/>
  <c r="AA66" i="17" s="1"/>
  <c r="U13" i="24"/>
  <c r="U55" i="24" s="1"/>
  <c r="Y38" i="13"/>
  <c r="AB38" i="13" s="1"/>
  <c r="S31" i="28" s="1"/>
  <c r="U38" i="24"/>
  <c r="U80" i="24" s="1"/>
  <c r="AA110" i="16"/>
  <c r="AA114" i="16"/>
  <c r="AA120" i="16"/>
  <c r="AA55" i="17"/>
  <c r="AA163" i="16"/>
  <c r="AG163" i="16" s="1"/>
  <c r="AA48" i="16"/>
  <c r="Q43" i="12"/>
  <c r="AB43" i="11"/>
  <c r="X5" i="12"/>
  <c r="X5" i="13"/>
  <c r="Q43" i="13"/>
  <c r="AM57" i="6"/>
  <c r="AM55" i="9"/>
  <c r="AM55" i="8"/>
  <c r="AM55" i="7"/>
  <c r="AB45" i="12"/>
  <c r="AB45" i="13"/>
  <c r="AB45" i="11"/>
  <c r="AB45" i="10"/>
  <c r="S15" i="28" l="1"/>
  <c r="S25" i="28"/>
  <c r="S20" i="28"/>
  <c r="AA62" i="17"/>
  <c r="AA77" i="16"/>
  <c r="AG77" i="16" s="1"/>
  <c r="G6" i="28"/>
  <c r="G11" i="28"/>
  <c r="S21" i="28"/>
  <c r="S16" i="28"/>
  <c r="S26" i="28"/>
  <c r="AA50" i="17"/>
  <c r="AA124" i="16"/>
  <c r="AA8" i="16"/>
  <c r="AA118" i="16"/>
  <c r="AA96" i="17"/>
  <c r="AA13" i="16"/>
  <c r="AG13" i="16" s="1"/>
  <c r="AA38" i="16"/>
  <c r="AA111" i="17"/>
  <c r="AA51" i="17"/>
  <c r="AA122" i="16"/>
  <c r="AA3" i="16"/>
  <c r="AG3" i="16" s="1"/>
  <c r="AA57" i="17"/>
  <c r="AA5" i="16"/>
  <c r="AG5" i="16" s="1"/>
  <c r="AA52" i="17"/>
  <c r="AA84" i="16"/>
  <c r="AG84" i="16" s="1"/>
  <c r="AA234" i="16"/>
  <c r="AG234" i="16" s="1"/>
  <c r="AA6" i="16"/>
  <c r="AA78" i="17"/>
  <c r="AA10" i="16"/>
  <c r="AA85" i="16"/>
  <c r="AG85" i="16" s="1"/>
  <c r="AA47" i="16"/>
  <c r="AA46" i="16"/>
  <c r="AG46" i="16" s="1"/>
  <c r="AA196" i="16"/>
  <c r="AG196" i="16" s="1"/>
  <c r="AA60" i="17"/>
  <c r="AA116" i="17"/>
  <c r="AA61" i="17"/>
  <c r="AA334" i="16"/>
  <c r="AG334" i="16" s="1"/>
  <c r="AA184" i="16"/>
  <c r="AG184" i="16" s="1"/>
  <c r="AA47" i="17"/>
  <c r="AA187" i="16"/>
  <c r="AG187" i="16" s="1"/>
  <c r="AA156" i="16"/>
  <c r="AG156" i="16" s="1"/>
  <c r="AA188" i="16"/>
  <c r="AG188" i="16" s="1"/>
  <c r="AA143" i="17"/>
  <c r="AA130" i="17"/>
  <c r="AA82" i="17"/>
  <c r="AA41" i="16"/>
  <c r="L41" i="21" s="1"/>
  <c r="O41" i="21" s="1"/>
  <c r="AA159" i="16"/>
  <c r="AG159" i="16" s="1"/>
  <c r="AA165" i="16"/>
  <c r="AG165" i="16" s="1"/>
  <c r="AA112" i="16"/>
  <c r="AG112" i="16" s="1"/>
  <c r="AA12" i="17"/>
  <c r="AA93" i="17"/>
  <c r="AA79" i="17"/>
  <c r="AA39" i="16"/>
  <c r="L39" i="21" s="1"/>
  <c r="O39" i="21" s="1"/>
  <c r="AA43" i="16"/>
  <c r="AG43" i="16" s="1"/>
  <c r="AA154" i="16"/>
  <c r="AG154" i="16" s="1"/>
  <c r="AA158" i="16"/>
  <c r="AG158" i="16" s="1"/>
  <c r="AA13" i="17"/>
  <c r="AA41" i="17"/>
  <c r="AA229" i="16"/>
  <c r="AG229" i="16" s="1"/>
  <c r="AA180" i="16"/>
  <c r="AG180" i="16" s="1"/>
  <c r="AA12" i="16"/>
  <c r="AA44" i="16"/>
  <c r="AG44" i="16" s="1"/>
  <c r="AA155" i="16"/>
  <c r="AG155" i="16" s="1"/>
  <c r="AA56" i="17"/>
  <c r="AA116" i="16"/>
  <c r="AG116" i="16" s="1"/>
  <c r="AA208" i="16"/>
  <c r="AG208" i="16" s="1"/>
  <c r="AA112" i="17"/>
  <c r="AA181" i="16"/>
  <c r="AG181" i="16" s="1"/>
  <c r="AA199" i="16"/>
  <c r="AG199" i="16" s="1"/>
  <c r="AA221" i="16"/>
  <c r="AG221" i="16" s="1"/>
  <c r="AA185" i="16"/>
  <c r="AG185" i="16" s="1"/>
  <c r="AA80" i="17"/>
  <c r="AA81" i="16"/>
  <c r="AG81" i="16" s="1"/>
  <c r="AA216" i="16"/>
  <c r="AG216" i="16" s="1"/>
  <c r="AA237" i="16"/>
  <c r="AG237" i="16" s="1"/>
  <c r="AA178" i="16"/>
  <c r="AA285" i="16"/>
  <c r="L285" i="21" s="1"/>
  <c r="O285" i="21" s="1"/>
  <c r="AA70" i="17"/>
  <c r="AA332" i="16"/>
  <c r="AG332" i="16" s="1"/>
  <c r="AA49" i="17"/>
  <c r="AA45" i="17"/>
  <c r="AA224" i="16"/>
  <c r="AG224" i="16" s="1"/>
  <c r="AA211" i="16"/>
  <c r="AG211" i="16" s="1"/>
  <c r="AA190" i="16"/>
  <c r="AG190" i="16" s="1"/>
  <c r="AA132" i="17"/>
  <c r="AA186" i="16"/>
  <c r="AG186" i="16" s="1"/>
  <c r="AA189" i="16"/>
  <c r="AG189" i="16" s="1"/>
  <c r="AA84" i="17"/>
  <c r="AA160" i="16"/>
  <c r="AG160" i="16" s="1"/>
  <c r="AA59" i="17"/>
  <c r="AA53" i="17"/>
  <c r="AA167" i="16"/>
  <c r="AG167" i="16" s="1"/>
  <c r="AA83" i="16"/>
  <c r="AG83" i="16" s="1"/>
  <c r="AA193" i="16"/>
  <c r="AG193" i="16" s="1"/>
  <c r="AA246" i="16"/>
  <c r="AG246" i="16" s="1"/>
  <c r="AA77" i="17"/>
  <c r="AA86" i="17"/>
  <c r="AA67" i="17"/>
  <c r="AA219" i="16"/>
  <c r="AG219" i="16" s="1"/>
  <c r="AA144" i="17"/>
  <c r="AA83" i="17"/>
  <c r="U5" i="24"/>
  <c r="U47" i="24" s="1"/>
  <c r="K7" i="26" s="1"/>
  <c r="AA44" i="17"/>
  <c r="AA209" i="16"/>
  <c r="AG209" i="16" s="1"/>
  <c r="AA123" i="17"/>
  <c r="AA117" i="17"/>
  <c r="AA183" i="16"/>
  <c r="AG183" i="16" s="1"/>
  <c r="AA179" i="16"/>
  <c r="AG179" i="16" s="1"/>
  <c r="AA182" i="16"/>
  <c r="AG182" i="16" s="1"/>
  <c r="AA257" i="16"/>
  <c r="L257" i="21" s="1"/>
  <c r="O257" i="21" s="1"/>
  <c r="AA9" i="16"/>
  <c r="AG9" i="16" s="1"/>
  <c r="AA161" i="16"/>
  <c r="AG161" i="16" s="1"/>
  <c r="AA164" i="16"/>
  <c r="AG164" i="16" s="1"/>
  <c r="AA54" i="17"/>
  <c r="AA63" i="17"/>
  <c r="AA5" i="17"/>
  <c r="AA173" i="16"/>
  <c r="AG173" i="16" s="1"/>
  <c r="AA345" i="16"/>
  <c r="AG345" i="16" s="1"/>
  <c r="AA85" i="17"/>
  <c r="AA275" i="16"/>
  <c r="AG275" i="16" s="1"/>
  <c r="AA191" i="16"/>
  <c r="AG191" i="16" s="1"/>
  <c r="AA127" i="17"/>
  <c r="AA89" i="17"/>
  <c r="AA98" i="17"/>
  <c r="AA81" i="17"/>
  <c r="AA75" i="17"/>
  <c r="AA283" i="16"/>
  <c r="AG283" i="16" s="1"/>
  <c r="AA162" i="16"/>
  <c r="AG162" i="16" s="1"/>
  <c r="AA157" i="16"/>
  <c r="AG157" i="16" s="1"/>
  <c r="AA64" i="17"/>
  <c r="AA151" i="16"/>
  <c r="AG151" i="16" s="1"/>
  <c r="AA46" i="17"/>
  <c r="AA249" i="16"/>
  <c r="AG249" i="16" s="1"/>
  <c r="AA344" i="16"/>
  <c r="AG344" i="16" s="1"/>
  <c r="AA71" i="17"/>
  <c r="AA78" i="16"/>
  <c r="AG78" i="16" s="1"/>
  <c r="AA330" i="16"/>
  <c r="AG330" i="16" s="1"/>
  <c r="AA43" i="17"/>
  <c r="AA277" i="16"/>
  <c r="AG277" i="16" s="1"/>
  <c r="AA65" i="17"/>
  <c r="AA145" i="17"/>
  <c r="AA82" i="16"/>
  <c r="AG82" i="16" s="1"/>
  <c r="AA150" i="16"/>
  <c r="AG150" i="16" s="1"/>
  <c r="AA73" i="17"/>
  <c r="AA293" i="16"/>
  <c r="AA265" i="16"/>
  <c r="AG265" i="16" s="1"/>
  <c r="AA287" i="16"/>
  <c r="L287" i="21" s="1"/>
  <c r="O287" i="21" s="1"/>
  <c r="AA153" i="17"/>
  <c r="AA148" i="16"/>
  <c r="AG148" i="16" s="1"/>
  <c r="AA231" i="16"/>
  <c r="AG231" i="16" s="1"/>
  <c r="AA113" i="17"/>
  <c r="AA218" i="16"/>
  <c r="AG218" i="16" s="1"/>
  <c r="AA139" i="17"/>
  <c r="AA131" i="17"/>
  <c r="AA100" i="17"/>
  <c r="AA255" i="16"/>
  <c r="AG255" i="16" s="1"/>
  <c r="AA313" i="16"/>
  <c r="AG313" i="16" s="1"/>
  <c r="AA252" i="16"/>
  <c r="AG252" i="16" s="1"/>
  <c r="AA254" i="16"/>
  <c r="AG254" i="16" s="1"/>
  <c r="AA4" i="16"/>
  <c r="AG4" i="16" s="1"/>
  <c r="AA49" i="16"/>
  <c r="AA336" i="16"/>
  <c r="L336" i="21" s="1"/>
  <c r="O336" i="21" s="1"/>
  <c r="AA176" i="16"/>
  <c r="AG176" i="16" s="1"/>
  <c r="AA174" i="16"/>
  <c r="AG174" i="16" s="1"/>
  <c r="AA152" i="17"/>
  <c r="AA9" i="17"/>
  <c r="AA10" i="17"/>
  <c r="AA290" i="16"/>
  <c r="AG290" i="16" s="1"/>
  <c r="AA263" i="16"/>
  <c r="AA260" i="16"/>
  <c r="AG260" i="16" s="1"/>
  <c r="AA262" i="16"/>
  <c r="AG262" i="16" s="1"/>
  <c r="AA326" i="16"/>
  <c r="AG326" i="16" s="1"/>
  <c r="AA152" i="16"/>
  <c r="AG152" i="16" s="1"/>
  <c r="AA39" i="17"/>
  <c r="AA239" i="16"/>
  <c r="AG239" i="16" s="1"/>
  <c r="AA201" i="16"/>
  <c r="AG201" i="16" s="1"/>
  <c r="AA242" i="16"/>
  <c r="AG242" i="16" s="1"/>
  <c r="AA244" i="16"/>
  <c r="AG244" i="16" s="1"/>
  <c r="AA198" i="16"/>
  <c r="AG198" i="16" s="1"/>
  <c r="AA114" i="17"/>
  <c r="AA280" i="16"/>
  <c r="AG280" i="16" s="1"/>
  <c r="AA298" i="16"/>
  <c r="L298" i="21" s="1"/>
  <c r="O298" i="21" s="1"/>
  <c r="AA308" i="16"/>
  <c r="AG308" i="16" s="1"/>
  <c r="AA270" i="16"/>
  <c r="AG270" i="16" s="1"/>
  <c r="AA40" i="16"/>
  <c r="AA42" i="16"/>
  <c r="AG42" i="16" s="1"/>
  <c r="AA45" i="16"/>
  <c r="AG45" i="16" s="1"/>
  <c r="AA343" i="16"/>
  <c r="AG343" i="16" s="1"/>
  <c r="AA169" i="16"/>
  <c r="AG169" i="16" s="1"/>
  <c r="AA68" i="17"/>
  <c r="AA328" i="16"/>
  <c r="AG328" i="16" s="1"/>
  <c r="AA11" i="17"/>
  <c r="AA6" i="17"/>
  <c r="AA306" i="16"/>
  <c r="AG306" i="16" s="1"/>
  <c r="AA154" i="17"/>
  <c r="AA288" i="16"/>
  <c r="AG288" i="16" s="1"/>
  <c r="AA316" i="16"/>
  <c r="AG316" i="16" s="1"/>
  <c r="AA318" i="16"/>
  <c r="AG318" i="16" s="1"/>
  <c r="AA341" i="16"/>
  <c r="AG341" i="16" s="1"/>
  <c r="AA145" i="16"/>
  <c r="AG145" i="16" s="1"/>
  <c r="AA42" i="17"/>
  <c r="AA192" i="16"/>
  <c r="AG192" i="16" s="1"/>
  <c r="AA241" i="16"/>
  <c r="AG241" i="16" s="1"/>
  <c r="AA203" i="16"/>
  <c r="AG203" i="16" s="1"/>
  <c r="AA105" i="17"/>
  <c r="AA101" i="17"/>
  <c r="AA128" i="17"/>
  <c r="AA296" i="16"/>
  <c r="AG296" i="16" s="1"/>
  <c r="AA267" i="16"/>
  <c r="AA11" i="16"/>
  <c r="AG11" i="16" s="1"/>
  <c r="AA7" i="16"/>
  <c r="AG7" i="16" s="1"/>
  <c r="AA2" i="16"/>
  <c r="AG2" i="16" s="1"/>
  <c r="AA335" i="16"/>
  <c r="AG335" i="16" s="1"/>
  <c r="AA171" i="16"/>
  <c r="AG171" i="16" s="1"/>
  <c r="AA72" i="17"/>
  <c r="AA324" i="16"/>
  <c r="AG324" i="16" s="1"/>
  <c r="AA79" i="16"/>
  <c r="AG79" i="16" s="1"/>
  <c r="AA80" i="16"/>
  <c r="AG80" i="16" s="1"/>
  <c r="AA130" i="16"/>
  <c r="AA153" i="16"/>
  <c r="AG153" i="16" s="1"/>
  <c r="AA149" i="16"/>
  <c r="AG149" i="16" s="1"/>
  <c r="AA48" i="17"/>
  <c r="AA207" i="16"/>
  <c r="AG207" i="16" s="1"/>
  <c r="AA232" i="16"/>
  <c r="AG232" i="16" s="1"/>
  <c r="AA217" i="16"/>
  <c r="AG217" i="16" s="1"/>
  <c r="AA194" i="16"/>
  <c r="AG194" i="16" s="1"/>
  <c r="AA109" i="17"/>
  <c r="AA227" i="16"/>
  <c r="AG227" i="16" s="1"/>
  <c r="AA204" i="16"/>
  <c r="AG204" i="16" s="1"/>
  <c r="AA121" i="17"/>
  <c r="AA245" i="16"/>
  <c r="AG245" i="16" s="1"/>
  <c r="AA206" i="16"/>
  <c r="AG206" i="16" s="1"/>
  <c r="AA133" i="17"/>
  <c r="AA102" i="17"/>
  <c r="AA118" i="17"/>
  <c r="AA134" i="17"/>
  <c r="AA319" i="16"/>
  <c r="AG319" i="16" s="1"/>
  <c r="AA304" i="16"/>
  <c r="AG304" i="16" s="1"/>
  <c r="AA273" i="16"/>
  <c r="L273" i="21" s="1"/>
  <c r="O273" i="21" s="1"/>
  <c r="AA250" i="16"/>
  <c r="AG250" i="16" s="1"/>
  <c r="AA314" i="16"/>
  <c r="AA291" i="16"/>
  <c r="AG291" i="16" s="1"/>
  <c r="AA268" i="16"/>
  <c r="AG268" i="16" s="1"/>
  <c r="AA295" i="16"/>
  <c r="AG295" i="16" s="1"/>
  <c r="AA301" i="16"/>
  <c r="AG301" i="16" s="1"/>
  <c r="AA278" i="16"/>
  <c r="AG278" i="16" s="1"/>
  <c r="AA337" i="16"/>
  <c r="AG337" i="16" s="1"/>
  <c r="AA342" i="16"/>
  <c r="AG342" i="16" s="1"/>
  <c r="AA177" i="16"/>
  <c r="AG177" i="16" s="1"/>
  <c r="AA166" i="16"/>
  <c r="AG166" i="16" s="1"/>
  <c r="AA74" i="17"/>
  <c r="AA136" i="16"/>
  <c r="AG136" i="16" s="1"/>
  <c r="AA138" i="16"/>
  <c r="AG138" i="16" s="1"/>
  <c r="AA140" i="16"/>
  <c r="L140" i="21" s="1"/>
  <c r="O140" i="21" s="1"/>
  <c r="AA134" i="16"/>
  <c r="AG134" i="16" s="1"/>
  <c r="AA325" i="16"/>
  <c r="AG325" i="16" s="1"/>
  <c r="AA149" i="17"/>
  <c r="AA151" i="17"/>
  <c r="AA3" i="17"/>
  <c r="AA74" i="16"/>
  <c r="AG74" i="16" s="1"/>
  <c r="AA7" i="17"/>
  <c r="AA132" i="16"/>
  <c r="AG132" i="16" s="1"/>
  <c r="AA215" i="16"/>
  <c r="AG215" i="16" s="1"/>
  <c r="AA202" i="16"/>
  <c r="AG202" i="16" s="1"/>
  <c r="AA212" i="16"/>
  <c r="AG212" i="16" s="1"/>
  <c r="AA87" i="17"/>
  <c r="AA88" i="17"/>
  <c r="AA136" i="17"/>
  <c r="AA248" i="16"/>
  <c r="L248" i="21" s="1"/>
  <c r="AA258" i="16"/>
  <c r="AA286" i="16"/>
  <c r="AG286" i="16" s="1"/>
  <c r="AA338" i="16"/>
  <c r="AG338" i="16" s="1"/>
  <c r="AA111" i="16"/>
  <c r="AG111" i="16" s="1"/>
  <c r="AA113" i="16"/>
  <c r="L113" i="21" s="1"/>
  <c r="O113" i="21" s="1"/>
  <c r="AA115" i="16"/>
  <c r="AG115" i="16" s="1"/>
  <c r="AA117" i="16"/>
  <c r="AG117" i="16" s="1"/>
  <c r="AA38" i="17"/>
  <c r="AA147" i="17"/>
  <c r="AA321" i="16"/>
  <c r="AG321" i="16" s="1"/>
  <c r="AA327" i="16"/>
  <c r="AG327" i="16" s="1"/>
  <c r="AA128" i="16"/>
  <c r="AG128" i="16" s="1"/>
  <c r="AA126" i="16"/>
  <c r="AG126" i="16" s="1"/>
  <c r="AA240" i="16"/>
  <c r="AG240" i="16" s="1"/>
  <c r="AA225" i="16"/>
  <c r="AG225" i="16" s="1"/>
  <c r="AA125" i="17"/>
  <c r="AA235" i="16"/>
  <c r="AG235" i="16" s="1"/>
  <c r="AA137" i="17"/>
  <c r="AA214" i="16"/>
  <c r="AG214" i="16" s="1"/>
  <c r="AA104" i="17"/>
  <c r="AA120" i="17"/>
  <c r="AA312" i="16"/>
  <c r="AG312" i="16" s="1"/>
  <c r="AA281" i="16"/>
  <c r="AG281" i="16" s="1"/>
  <c r="AA271" i="16"/>
  <c r="AG271" i="16" s="1"/>
  <c r="AA299" i="16"/>
  <c r="AG299" i="16" s="1"/>
  <c r="AA276" i="16"/>
  <c r="AG276" i="16" s="1"/>
  <c r="AA309" i="16"/>
  <c r="AG309" i="16" s="1"/>
  <c r="AA143" i="16"/>
  <c r="AG143" i="16" s="1"/>
  <c r="AA146" i="16"/>
  <c r="AG146" i="16" s="1"/>
  <c r="AA142" i="16"/>
  <c r="AG142" i="16" s="1"/>
  <c r="AA223" i="16"/>
  <c r="AG223" i="16" s="1"/>
  <c r="AA99" i="17"/>
  <c r="AA97" i="17"/>
  <c r="AA233" i="16"/>
  <c r="AG233" i="16" s="1"/>
  <c r="AA210" i="16"/>
  <c r="AG210" i="16" s="1"/>
  <c r="AA141" i="17"/>
  <c r="AA243" i="16"/>
  <c r="AG243" i="16" s="1"/>
  <c r="AA220" i="16"/>
  <c r="AG220" i="16" s="1"/>
  <c r="AA197" i="16"/>
  <c r="AG197" i="16" s="1"/>
  <c r="AA103" i="17"/>
  <c r="AA222" i="16"/>
  <c r="AG222" i="16" s="1"/>
  <c r="AA90" i="17"/>
  <c r="AA106" i="17"/>
  <c r="AA122" i="17"/>
  <c r="AA138" i="17"/>
  <c r="AA256" i="16"/>
  <c r="AG256" i="16" s="1"/>
  <c r="AA320" i="16"/>
  <c r="L323" i="21" s="1"/>
  <c r="AA289" i="16"/>
  <c r="AG289" i="16" s="1"/>
  <c r="AA266" i="16"/>
  <c r="AG266" i="16" s="1"/>
  <c r="AA311" i="16"/>
  <c r="L311" i="21" s="1"/>
  <c r="O311" i="21" s="1"/>
  <c r="AA307" i="16"/>
  <c r="L307" i="21" s="1"/>
  <c r="O307" i="21" s="1"/>
  <c r="AA284" i="16"/>
  <c r="AG284" i="16" s="1"/>
  <c r="AA253" i="16"/>
  <c r="AG253" i="16" s="1"/>
  <c r="AA317" i="16"/>
  <c r="AG317" i="16" s="1"/>
  <c r="AA294" i="16"/>
  <c r="AG294" i="16" s="1"/>
  <c r="AA339" i="16"/>
  <c r="AG339" i="16" s="1"/>
  <c r="AA175" i="16"/>
  <c r="AG175" i="16" s="1"/>
  <c r="AA170" i="16"/>
  <c r="AG170" i="16" s="1"/>
  <c r="AA69" i="17"/>
  <c r="AA119" i="16"/>
  <c r="L119" i="21" s="1"/>
  <c r="O119" i="21" s="1"/>
  <c r="AA121" i="16"/>
  <c r="L121" i="21" s="1"/>
  <c r="O121" i="21" s="1"/>
  <c r="AA123" i="16"/>
  <c r="AG123" i="16" s="1"/>
  <c r="AA125" i="16"/>
  <c r="AG125" i="16" s="1"/>
  <c r="AA148" i="17"/>
  <c r="AA155" i="17"/>
  <c r="AA329" i="16"/>
  <c r="AG329" i="16" s="1"/>
  <c r="AA4" i="17"/>
  <c r="AA76" i="16"/>
  <c r="AG76" i="16" s="1"/>
  <c r="AA2" i="17"/>
  <c r="AA91" i="17"/>
  <c r="AA119" i="17"/>
  <c r="AA124" i="17"/>
  <c r="AA274" i="16"/>
  <c r="AG274" i="16" s="1"/>
  <c r="AA315" i="16"/>
  <c r="AG315" i="16" s="1"/>
  <c r="AA129" i="16"/>
  <c r="AG129" i="16" s="1"/>
  <c r="AA156" i="17"/>
  <c r="AA150" i="17"/>
  <c r="AA115" i="17"/>
  <c r="AA228" i="16"/>
  <c r="AG228" i="16" s="1"/>
  <c r="AA205" i="16"/>
  <c r="AG205" i="16" s="1"/>
  <c r="AA230" i="16"/>
  <c r="AG230" i="16" s="1"/>
  <c r="AA92" i="17"/>
  <c r="AA108" i="17"/>
  <c r="AA140" i="17"/>
  <c r="AA264" i="16"/>
  <c r="AG264" i="16" s="1"/>
  <c r="AA297" i="16"/>
  <c r="AG297" i="16" s="1"/>
  <c r="AA251" i="16"/>
  <c r="AA292" i="16"/>
  <c r="AG292" i="16" s="1"/>
  <c r="AA261" i="16"/>
  <c r="AG261" i="16" s="1"/>
  <c r="AA302" i="16"/>
  <c r="AG302" i="16" s="1"/>
  <c r="AA340" i="16"/>
  <c r="L340" i="21" s="1"/>
  <c r="O340" i="21" s="1"/>
  <c r="AA127" i="16"/>
  <c r="L127" i="21" s="1"/>
  <c r="O127" i="21" s="1"/>
  <c r="AA131" i="16"/>
  <c r="AG131" i="16" s="1"/>
  <c r="AA133" i="16"/>
  <c r="AG133" i="16" s="1"/>
  <c r="AA323" i="16"/>
  <c r="AG323" i="16" s="1"/>
  <c r="AA144" i="16"/>
  <c r="AG144" i="16" s="1"/>
  <c r="AA147" i="16"/>
  <c r="AG147" i="16" s="1"/>
  <c r="AA40" i="17"/>
  <c r="AA247" i="16"/>
  <c r="AG247" i="16" s="1"/>
  <c r="AA200" i="16"/>
  <c r="AG200" i="16" s="1"/>
  <c r="AA129" i="17"/>
  <c r="AA95" i="17"/>
  <c r="AA226" i="16"/>
  <c r="AG226" i="16" s="1"/>
  <c r="AA195" i="16"/>
  <c r="AG195" i="16" s="1"/>
  <c r="AA107" i="17"/>
  <c r="AA236" i="16"/>
  <c r="AG236" i="16" s="1"/>
  <c r="AA213" i="16"/>
  <c r="AG213" i="16" s="1"/>
  <c r="AA135" i="17"/>
  <c r="AA238" i="16"/>
  <c r="AG238" i="16" s="1"/>
  <c r="AA94" i="17"/>
  <c r="AA110" i="17"/>
  <c r="AA126" i="17"/>
  <c r="AA142" i="17"/>
  <c r="AA272" i="16"/>
  <c r="AG272" i="16" s="1"/>
  <c r="AA303" i="16"/>
  <c r="AG303" i="16" s="1"/>
  <c r="AA305" i="16"/>
  <c r="AG305" i="16" s="1"/>
  <c r="AA282" i="16"/>
  <c r="AG282" i="16" s="1"/>
  <c r="AA259" i="16"/>
  <c r="L259" i="21" s="1"/>
  <c r="O259" i="21" s="1"/>
  <c r="AA300" i="16"/>
  <c r="L300" i="21" s="1"/>
  <c r="O300" i="21" s="1"/>
  <c r="AA269" i="16"/>
  <c r="AG269" i="16" s="1"/>
  <c r="AA279" i="16"/>
  <c r="AG279" i="16" s="1"/>
  <c r="AA310" i="16"/>
  <c r="AG310" i="16" s="1"/>
  <c r="AA333" i="16"/>
  <c r="AG333" i="16" s="1"/>
  <c r="AA168" i="16"/>
  <c r="AG168" i="16" s="1"/>
  <c r="AA172" i="16"/>
  <c r="AG172" i="16" s="1"/>
  <c r="AA135" i="16"/>
  <c r="AG135" i="16" s="1"/>
  <c r="AA137" i="16"/>
  <c r="AA139" i="16"/>
  <c r="AG139" i="16" s="1"/>
  <c r="AA141" i="16"/>
  <c r="AG141" i="16" s="1"/>
  <c r="AA322" i="16"/>
  <c r="AG322" i="16" s="1"/>
  <c r="AA331" i="16"/>
  <c r="AG331" i="16" s="1"/>
  <c r="AA146" i="17"/>
  <c r="AA75" i="16"/>
  <c r="AG75" i="16" s="1"/>
  <c r="AA8" i="17"/>
  <c r="AG178" i="16"/>
  <c r="L188" i="21"/>
  <c r="O188" i="21" s="1"/>
  <c r="L184" i="21"/>
  <c r="L180" i="21"/>
  <c r="O180" i="21" s="1"/>
  <c r="L176" i="21"/>
  <c r="L172" i="21"/>
  <c r="L168" i="21"/>
  <c r="L164" i="21"/>
  <c r="O164" i="21" s="1"/>
  <c r="L160" i="21"/>
  <c r="L156" i="21"/>
  <c r="L152" i="21"/>
  <c r="L148" i="21"/>
  <c r="L144" i="21"/>
  <c r="L187" i="21"/>
  <c r="L185" i="21"/>
  <c r="L179" i="21"/>
  <c r="L174" i="21"/>
  <c r="L169" i="21"/>
  <c r="L163" i="21"/>
  <c r="O163" i="21" s="1"/>
  <c r="L158" i="21"/>
  <c r="L153" i="21"/>
  <c r="L147" i="21"/>
  <c r="L142" i="21"/>
  <c r="O142" i="21" s="1"/>
  <c r="L189" i="21"/>
  <c r="L181" i="21"/>
  <c r="O181" i="21" s="1"/>
  <c r="L171" i="21"/>
  <c r="L162" i="21"/>
  <c r="L178" i="21"/>
  <c r="O178" i="21" s="1"/>
  <c r="L154" i="21"/>
  <c r="L145" i="21"/>
  <c r="L186" i="21"/>
  <c r="L177" i="21"/>
  <c r="O177" i="21" s="1"/>
  <c r="L167" i="21"/>
  <c r="L143" i="21"/>
  <c r="L183" i="21"/>
  <c r="L159" i="21"/>
  <c r="O159" i="21" s="1"/>
  <c r="L150" i="21"/>
  <c r="L175" i="21"/>
  <c r="L166" i="21"/>
  <c r="L157" i="21"/>
  <c r="O157" i="21" s="1"/>
  <c r="L182" i="21"/>
  <c r="L173" i="21"/>
  <c r="L149" i="21"/>
  <c r="L161" i="21"/>
  <c r="L155" i="21"/>
  <c r="L151" i="21"/>
  <c r="O151" i="21" s="1"/>
  <c r="L146" i="21"/>
  <c r="L165" i="21"/>
  <c r="L170" i="21"/>
  <c r="L3" i="21"/>
  <c r="O3" i="21" s="1"/>
  <c r="AG336" i="16"/>
  <c r="AG114" i="16"/>
  <c r="L114" i="21"/>
  <c r="O114" i="21" s="1"/>
  <c r="AG110" i="16"/>
  <c r="L247" i="21"/>
  <c r="L243" i="21"/>
  <c r="L239" i="21"/>
  <c r="L235" i="21"/>
  <c r="L231" i="21"/>
  <c r="L227" i="21"/>
  <c r="L223" i="21"/>
  <c r="L219" i="21"/>
  <c r="L215" i="21"/>
  <c r="L244" i="21"/>
  <c r="L240" i="21"/>
  <c r="L236" i="21"/>
  <c r="L232" i="21"/>
  <c r="L228" i="21"/>
  <c r="O228" i="21" s="1"/>
  <c r="L224" i="21"/>
  <c r="O224" i="21" s="1"/>
  <c r="L220" i="21"/>
  <c r="L216" i="21"/>
  <c r="L212" i="21"/>
  <c r="L237" i="21"/>
  <c r="O237" i="21" s="1"/>
  <c r="L229" i="21"/>
  <c r="O229" i="21" s="1"/>
  <c r="L221" i="21"/>
  <c r="O221" i="21" s="1"/>
  <c r="L213" i="21"/>
  <c r="L210" i="21"/>
  <c r="L206" i="21"/>
  <c r="L202" i="21"/>
  <c r="L198" i="21"/>
  <c r="L194" i="21"/>
  <c r="L190" i="21"/>
  <c r="L245" i="21"/>
  <c r="L241" i="21"/>
  <c r="L233" i="21"/>
  <c r="L225" i="21"/>
  <c r="O225" i="21" s="1"/>
  <c r="L217" i="21"/>
  <c r="O217" i="21" s="1"/>
  <c r="L208" i="21"/>
  <c r="O208" i="21" s="1"/>
  <c r="L204" i="21"/>
  <c r="L200" i="21"/>
  <c r="L246" i="21"/>
  <c r="L196" i="21"/>
  <c r="L242" i="21"/>
  <c r="O242" i="21" s="1"/>
  <c r="L234" i="21"/>
  <c r="L226" i="21"/>
  <c r="O226" i="21" s="1"/>
  <c r="L218" i="21"/>
  <c r="L192" i="21"/>
  <c r="L110" i="21"/>
  <c r="L199" i="21"/>
  <c r="L197" i="21"/>
  <c r="L195" i="21"/>
  <c r="L203" i="21"/>
  <c r="L201" i="21"/>
  <c r="L193" i="21"/>
  <c r="L191" i="21"/>
  <c r="O191" i="21" s="1"/>
  <c r="L230" i="21"/>
  <c r="O230" i="21" s="1"/>
  <c r="L238" i="21"/>
  <c r="L207" i="21"/>
  <c r="L211" i="21"/>
  <c r="O211" i="21" s="1"/>
  <c r="L214" i="21"/>
  <c r="L222" i="21"/>
  <c r="L209" i="21"/>
  <c r="L205" i="21"/>
  <c r="AG251" i="16"/>
  <c r="L251" i="21"/>
  <c r="O251" i="21" s="1"/>
  <c r="AG39" i="16"/>
  <c r="AG120" i="16"/>
  <c r="L120" i="21"/>
  <c r="O120" i="21" s="1"/>
  <c r="AG122" i="16"/>
  <c r="L122" i="21"/>
  <c r="O122" i="21" s="1"/>
  <c r="AG124" i="16"/>
  <c r="L124" i="21"/>
  <c r="O124" i="21" s="1"/>
  <c r="AG118" i="16"/>
  <c r="L118" i="21"/>
  <c r="O118" i="21" s="1"/>
  <c r="L301" i="21"/>
  <c r="O301" i="21" s="1"/>
  <c r="AG300" i="16"/>
  <c r="AG47" i="16"/>
  <c r="L47" i="21"/>
  <c r="O47" i="21" s="1"/>
  <c r="AG130" i="16"/>
  <c r="L130" i="21"/>
  <c r="O130" i="21" s="1"/>
  <c r="L132" i="21"/>
  <c r="O132" i="21" s="1"/>
  <c r="AG267" i="16"/>
  <c r="L267" i="21"/>
  <c r="O267" i="21" s="1"/>
  <c r="AG287" i="16"/>
  <c r="AG41" i="16"/>
  <c r="AG10" i="16"/>
  <c r="L10" i="21"/>
  <c r="O10" i="21" s="1"/>
  <c r="L330" i="21"/>
  <c r="O330" i="21" s="1"/>
  <c r="L327" i="21"/>
  <c r="AG137" i="16"/>
  <c r="L137" i="21"/>
  <c r="O137" i="21" s="1"/>
  <c r="AG263" i="16"/>
  <c r="L263" i="21"/>
  <c r="O263" i="21" s="1"/>
  <c r="AG12" i="16"/>
  <c r="L12" i="21"/>
  <c r="O12" i="21" s="1"/>
  <c r="AG49" i="16"/>
  <c r="L78" i="21"/>
  <c r="L83" i="21"/>
  <c r="L75" i="21"/>
  <c r="L85" i="21"/>
  <c r="L82" i="21"/>
  <c r="L79" i="21"/>
  <c r="O79" i="21" s="1"/>
  <c r="L77" i="21"/>
  <c r="O77" i="21" s="1"/>
  <c r="L74" i="21"/>
  <c r="L80" i="21"/>
  <c r="L84" i="21"/>
  <c r="O84" i="21" s="1"/>
  <c r="L76" i="21"/>
  <c r="L81" i="21"/>
  <c r="O81" i="21" s="1"/>
  <c r="L49" i="21"/>
  <c r="O49" i="21" s="1"/>
  <c r="AG8" i="16"/>
  <c r="L8" i="21"/>
  <c r="O8" i="21" s="1"/>
  <c r="AG38" i="16"/>
  <c r="L38" i="21"/>
  <c r="O38" i="21" s="1"/>
  <c r="L117" i="21"/>
  <c r="O117" i="21" s="1"/>
  <c r="L266" i="21"/>
  <c r="O266" i="21" s="1"/>
  <c r="L11" i="21"/>
  <c r="O11" i="21" s="1"/>
  <c r="AG314" i="16"/>
  <c r="L314" i="21"/>
  <c r="O314" i="21" s="1"/>
  <c r="AG40" i="16"/>
  <c r="L40" i="21"/>
  <c r="O40" i="21" s="1"/>
  <c r="L281" i="21"/>
  <c r="O281" i="21" s="1"/>
  <c r="AG258" i="16"/>
  <c r="L258" i="21"/>
  <c r="O258" i="21" s="1"/>
  <c r="L291" i="21"/>
  <c r="O291" i="21" s="1"/>
  <c r="AG293" i="16"/>
  <c r="L293" i="21"/>
  <c r="O293" i="21" s="1"/>
  <c r="AG48" i="16"/>
  <c r="L48" i="21"/>
  <c r="O48" i="21" s="1"/>
  <c r="AG6" i="16"/>
  <c r="L6" i="21"/>
  <c r="O6" i="21" s="1"/>
  <c r="L133" i="21"/>
  <c r="O133" i="21" s="1"/>
  <c r="Y5" i="13"/>
  <c r="X43" i="13"/>
  <c r="Y5" i="12"/>
  <c r="X43" i="12"/>
  <c r="O158" i="21" l="1"/>
  <c r="L319" i="21"/>
  <c r="O319" i="21" s="1"/>
  <c r="L316" i="21"/>
  <c r="O316" i="21" s="1"/>
  <c r="L296" i="21"/>
  <c r="O296" i="21" s="1"/>
  <c r="AG311" i="16"/>
  <c r="L250" i="21"/>
  <c r="O250" i="21" s="1"/>
  <c r="L270" i="21"/>
  <c r="O270" i="21" s="1"/>
  <c r="L334" i="21"/>
  <c r="O334" i="21" s="1"/>
  <c r="L5" i="21"/>
  <c r="O5" i="21" s="1"/>
  <c r="L46" i="21"/>
  <c r="O46" i="21" s="1"/>
  <c r="L4" i="21"/>
  <c r="O4" i="21" s="1"/>
  <c r="O206" i="21"/>
  <c r="AG285" i="16"/>
  <c r="L13" i="21"/>
  <c r="O13" i="21" s="1"/>
  <c r="AG340" i="16"/>
  <c r="O234" i="21"/>
  <c r="AG248" i="16"/>
  <c r="L269" i="21"/>
  <c r="O269" i="21" s="1"/>
  <c r="L339" i="21"/>
  <c r="O339" i="21" s="1"/>
  <c r="L289" i="21"/>
  <c r="O289" i="21" s="1"/>
  <c r="L271" i="21"/>
  <c r="O271" i="21" s="1"/>
  <c r="L139" i="21"/>
  <c r="O139" i="21" s="1"/>
  <c r="O82" i="21"/>
  <c r="L318" i="21"/>
  <c r="O318" i="21" s="1"/>
  <c r="L260" i="21"/>
  <c r="O260" i="21" s="1"/>
  <c r="O85" i="21"/>
  <c r="O192" i="21"/>
  <c r="L306" i="21"/>
  <c r="O306" i="21" s="1"/>
  <c r="O244" i="21"/>
  <c r="L44" i="21"/>
  <c r="O44" i="21" s="1"/>
  <c r="L284" i="21"/>
  <c r="O284" i="21" s="1"/>
  <c r="O183" i="21"/>
  <c r="O184" i="21"/>
  <c r="O80" i="21"/>
  <c r="L265" i="21"/>
  <c r="O265" i="21" s="1"/>
  <c r="L43" i="21"/>
  <c r="O43" i="21" s="1"/>
  <c r="L42" i="21"/>
  <c r="O42" i="21" s="1"/>
  <c r="O219" i="21"/>
  <c r="O167" i="21"/>
  <c r="AG127" i="16"/>
  <c r="AG119" i="16"/>
  <c r="O199" i="21"/>
  <c r="L274" i="21"/>
  <c r="O274" i="21" s="1"/>
  <c r="O76" i="21"/>
  <c r="L111" i="21"/>
  <c r="O111" i="21" s="1"/>
  <c r="AG257" i="16"/>
  <c r="L313" i="21"/>
  <c r="O313" i="21" s="1"/>
  <c r="O204" i="21"/>
  <c r="L112" i="21"/>
  <c r="O112" i="21" s="1"/>
  <c r="O149" i="21"/>
  <c r="O152" i="21"/>
  <c r="O212" i="21"/>
  <c r="O143" i="21"/>
  <c r="O169" i="21"/>
  <c r="O156" i="21"/>
  <c r="L333" i="21"/>
  <c r="O333" i="21" s="1"/>
  <c r="O193" i="21"/>
  <c r="L129" i="21"/>
  <c r="O129" i="21" s="1"/>
  <c r="L280" i="21"/>
  <c r="O280" i="21" s="1"/>
  <c r="L335" i="21"/>
  <c r="O335" i="21" s="1"/>
  <c r="O247" i="21"/>
  <c r="K11" i="26"/>
  <c r="M11" i="26" s="1"/>
  <c r="O148" i="21"/>
  <c r="L138" i="21"/>
  <c r="O138" i="21" s="1"/>
  <c r="O189" i="21"/>
  <c r="K9" i="26"/>
  <c r="M9" i="26" s="1"/>
  <c r="L128" i="21"/>
  <c r="O128" i="21" s="1"/>
  <c r="L344" i="21"/>
  <c r="O344" i="21" s="1"/>
  <c r="L345" i="21"/>
  <c r="O345" i="21" s="1"/>
  <c r="L303" i="21"/>
  <c r="O303" i="21" s="1"/>
  <c r="L116" i="21"/>
  <c r="O116" i="21" s="1"/>
  <c r="O196" i="21"/>
  <c r="O213" i="21"/>
  <c r="L277" i="21"/>
  <c r="O277" i="21" s="1"/>
  <c r="L310" i="21"/>
  <c r="O310" i="21" s="1"/>
  <c r="L286" i="21"/>
  <c r="O286" i="21" s="1"/>
  <c r="L268" i="21"/>
  <c r="O268" i="21" s="1"/>
  <c r="L279" i="21"/>
  <c r="O279" i="21" s="1"/>
  <c r="O198" i="21"/>
  <c r="O170" i="21"/>
  <c r="L338" i="21"/>
  <c r="O338" i="21" s="1"/>
  <c r="O83" i="21"/>
  <c r="L261" i="21"/>
  <c r="O261" i="21" s="1"/>
  <c r="O202" i="21"/>
  <c r="O215" i="21"/>
  <c r="O165" i="21"/>
  <c r="O179" i="21"/>
  <c r="L141" i="21"/>
  <c r="O141" i="21" s="1"/>
  <c r="L288" i="21"/>
  <c r="O288" i="21" s="1"/>
  <c r="O185" i="21"/>
  <c r="L255" i="21"/>
  <c r="O255" i="21" s="1"/>
  <c r="L7" i="21"/>
  <c r="O7" i="21" s="1"/>
  <c r="O233" i="21"/>
  <c r="L45" i="21"/>
  <c r="O45" i="21" s="1"/>
  <c r="AG307" i="16"/>
  <c r="O147" i="21"/>
  <c r="O187" i="21"/>
  <c r="L262" i="21"/>
  <c r="O262" i="21" s="1"/>
  <c r="L276" i="21"/>
  <c r="O276" i="21" s="1"/>
  <c r="O241" i="21"/>
  <c r="O155" i="21"/>
  <c r="O154" i="21"/>
  <c r="O176" i="21"/>
  <c r="AG259" i="16"/>
  <c r="AC11" i="21" s="1"/>
  <c r="L272" i="21"/>
  <c r="O272" i="21" s="1"/>
  <c r="L282" i="21"/>
  <c r="O282" i="21" s="1"/>
  <c r="O216" i="21"/>
  <c r="L341" i="21"/>
  <c r="O341" i="21" s="1"/>
  <c r="O160" i="21"/>
  <c r="L275" i="21"/>
  <c r="O275" i="21" s="1"/>
  <c r="L317" i="21"/>
  <c r="O317" i="21" s="1"/>
  <c r="O161" i="21"/>
  <c r="L312" i="21"/>
  <c r="O312" i="21" s="1"/>
  <c r="L308" i="21"/>
  <c r="O308" i="21" s="1"/>
  <c r="O162" i="21"/>
  <c r="O209" i="21"/>
  <c r="O153" i="21"/>
  <c r="L304" i="21"/>
  <c r="O304" i="21" s="1"/>
  <c r="L136" i="21"/>
  <c r="O136" i="21" s="1"/>
  <c r="L343" i="21"/>
  <c r="O343" i="21" s="1"/>
  <c r="L315" i="21"/>
  <c r="O315" i="21" s="1"/>
  <c r="O214" i="21"/>
  <c r="O203" i="21"/>
  <c r="L309" i="21"/>
  <c r="O309" i="21" s="1"/>
  <c r="AG121" i="16"/>
  <c r="L9" i="21"/>
  <c r="O9" i="21" s="1"/>
  <c r="O210" i="21"/>
  <c r="O173" i="21"/>
  <c r="L283" i="21"/>
  <c r="O283" i="21" s="1"/>
  <c r="O74" i="21"/>
  <c r="L295" i="21"/>
  <c r="O295" i="21" s="1"/>
  <c r="AG298" i="16"/>
  <c r="L2" i="21"/>
  <c r="O2" i="21" s="1"/>
  <c r="L302" i="21"/>
  <c r="O302" i="21" s="1"/>
  <c r="O227" i="21"/>
  <c r="O182" i="21"/>
  <c r="O174" i="21"/>
  <c r="L252" i="21"/>
  <c r="O252" i="21" s="1"/>
  <c r="L249" i="21"/>
  <c r="O249" i="21" s="1"/>
  <c r="O246" i="21"/>
  <c r="O323" i="21"/>
  <c r="AG113" i="16"/>
  <c r="O327" i="21"/>
  <c r="O236" i="21"/>
  <c r="O146" i="21"/>
  <c r="O186" i="21"/>
  <c r="AG273" i="16"/>
  <c r="AG140" i="16"/>
  <c r="L126" i="21"/>
  <c r="O126" i="21" s="1"/>
  <c r="O240" i="21"/>
  <c r="O239" i="21"/>
  <c r="O243" i="21"/>
  <c r="AP4" i="16"/>
  <c r="AQ4" i="16" s="1"/>
  <c r="L131" i="21"/>
  <c r="O131" i="21" s="1"/>
  <c r="O75" i="21"/>
  <c r="L254" i="21"/>
  <c r="O254" i="21" s="1"/>
  <c r="L253" i="21"/>
  <c r="O253" i="21" s="1"/>
  <c r="L305" i="21"/>
  <c r="O305" i="21" s="1"/>
  <c r="L278" i="21"/>
  <c r="O278" i="21" s="1"/>
  <c r="O150" i="21"/>
  <c r="L134" i="21"/>
  <c r="O134" i="21" s="1"/>
  <c r="L337" i="21"/>
  <c r="O337" i="21" s="1"/>
  <c r="O207" i="21"/>
  <c r="O220" i="21"/>
  <c r="L115" i="21"/>
  <c r="O115" i="21" s="1"/>
  <c r="O78" i="21"/>
  <c r="L256" i="21"/>
  <c r="O256" i="21" s="1"/>
  <c r="O238" i="21"/>
  <c r="O245" i="21"/>
  <c r="O231" i="21"/>
  <c r="L264" i="21"/>
  <c r="O264" i="21" s="1"/>
  <c r="L123" i="21"/>
  <c r="O123" i="21" s="1"/>
  <c r="O200" i="21"/>
  <c r="O171" i="21"/>
  <c r="L320" i="21"/>
  <c r="O320" i="21" s="1"/>
  <c r="L331" i="21"/>
  <c r="O331" i="21" s="1"/>
  <c r="L290" i="21"/>
  <c r="O290" i="21" s="1"/>
  <c r="L135" i="21"/>
  <c r="O135" i="21" s="1"/>
  <c r="O223" i="21"/>
  <c r="O168" i="21"/>
  <c r="L324" i="21"/>
  <c r="O324" i="21" s="1"/>
  <c r="L326" i="21"/>
  <c r="O326" i="21" s="1"/>
  <c r="O197" i="21"/>
  <c r="O145" i="21"/>
  <c r="AP3" i="16"/>
  <c r="L322" i="21"/>
  <c r="O322" i="21" s="1"/>
  <c r="L321" i="21"/>
  <c r="O321" i="21" s="1"/>
  <c r="O232" i="21"/>
  <c r="L297" i="21"/>
  <c r="O297" i="21" s="1"/>
  <c r="L325" i="21"/>
  <c r="O325" i="21" s="1"/>
  <c r="L329" i="21"/>
  <c r="O329" i="21" s="1"/>
  <c r="AC10" i="21"/>
  <c r="L328" i="21"/>
  <c r="O328" i="21" s="1"/>
  <c r="AG320" i="16"/>
  <c r="L294" i="21"/>
  <c r="O294" i="21" s="1"/>
  <c r="O218" i="21"/>
  <c r="L125" i="21"/>
  <c r="O125" i="21" s="1"/>
  <c r="L332" i="21"/>
  <c r="O332" i="21" s="1"/>
  <c r="L342" i="21"/>
  <c r="O342" i="21" s="1"/>
  <c r="O201" i="21"/>
  <c r="L292" i="21"/>
  <c r="O292" i="21" s="1"/>
  <c r="O222" i="21"/>
  <c r="K14" i="26"/>
  <c r="L299" i="21"/>
  <c r="O299" i="21" s="1"/>
  <c r="O195" i="21"/>
  <c r="O166" i="21"/>
  <c r="K13" i="26"/>
  <c r="M7" i="26"/>
  <c r="M13" i="26" s="1"/>
  <c r="O175" i="21"/>
  <c r="O172" i="21"/>
  <c r="O144" i="21"/>
  <c r="O235" i="21"/>
  <c r="O205" i="21"/>
  <c r="O194" i="21"/>
  <c r="AP6" i="16"/>
  <c r="AQ6" i="16" s="1"/>
  <c r="AC12" i="21"/>
  <c r="O110" i="21"/>
  <c r="T10" i="21"/>
  <c r="O190" i="21"/>
  <c r="O248" i="21"/>
  <c r="Y43" i="12"/>
  <c r="AB5" i="12"/>
  <c r="AB43" i="12" s="1"/>
  <c r="Y43" i="13"/>
  <c r="AB5" i="13"/>
  <c r="G10" i="28" l="1"/>
  <c r="G5" i="28"/>
  <c r="K15" i="26"/>
  <c r="AC9" i="21"/>
  <c r="AP5" i="16"/>
  <c r="AQ5" i="16" s="1"/>
  <c r="W12" i="21"/>
  <c r="W11" i="21"/>
  <c r="T11" i="21"/>
  <c r="AQ3" i="16"/>
  <c r="T12" i="21"/>
  <c r="W10" i="21"/>
  <c r="Z10" i="21" s="1"/>
  <c r="AH10" i="21" s="1"/>
  <c r="W9" i="21"/>
  <c r="T9" i="21"/>
  <c r="M15" i="26"/>
  <c r="M14" i="26"/>
  <c r="AA104" i="16"/>
  <c r="AG104" i="16" s="1"/>
  <c r="AA32" i="17"/>
  <c r="AA109" i="16"/>
  <c r="AG109" i="16" s="1"/>
  <c r="AA101" i="16"/>
  <c r="AG101" i="16" s="1"/>
  <c r="AA35" i="17"/>
  <c r="AA27" i="17"/>
  <c r="AA31" i="17"/>
  <c r="AA106" i="16"/>
  <c r="AG106" i="16" s="1"/>
  <c r="AA98" i="16"/>
  <c r="AG98" i="16" s="1"/>
  <c r="AA30" i="17"/>
  <c r="AA103" i="16"/>
  <c r="AG103" i="16" s="1"/>
  <c r="AA33" i="17"/>
  <c r="AA105" i="16"/>
  <c r="AG105" i="16" s="1"/>
  <c r="AA108" i="16"/>
  <c r="AG108" i="16" s="1"/>
  <c r="AA100" i="16"/>
  <c r="AG100" i="16" s="1"/>
  <c r="AA36" i="17"/>
  <c r="AA28" i="17"/>
  <c r="AA102" i="16"/>
  <c r="AG102" i="16" s="1"/>
  <c r="AA34" i="17"/>
  <c r="AA26" i="17"/>
  <c r="AA107" i="16"/>
  <c r="AG107" i="16" s="1"/>
  <c r="AA99" i="16"/>
  <c r="AG99" i="16" s="1"/>
  <c r="AA37" i="17"/>
  <c r="AA29" i="17"/>
  <c r="AB43" i="13"/>
  <c r="AA66" i="16"/>
  <c r="AA30" i="16"/>
  <c r="AA73" i="16"/>
  <c r="AA65" i="16"/>
  <c r="AA37" i="16"/>
  <c r="AA29" i="16"/>
  <c r="AA72" i="16"/>
  <c r="AA64" i="16"/>
  <c r="AA36" i="16"/>
  <c r="AA28" i="16"/>
  <c r="AA71" i="16"/>
  <c r="AA63" i="16"/>
  <c r="AA35" i="16"/>
  <c r="AA27" i="16"/>
  <c r="AA70" i="16"/>
  <c r="AA62" i="16"/>
  <c r="AA34" i="16"/>
  <c r="AA26" i="16"/>
  <c r="AA69" i="16"/>
  <c r="AA33" i="16"/>
  <c r="AA68" i="16"/>
  <c r="AA32" i="16"/>
  <c r="AA67" i="16"/>
  <c r="AA31" i="16"/>
  <c r="AP8" i="16" l="1"/>
  <c r="AQ8" i="16" s="1"/>
  <c r="Z12" i="21"/>
  <c r="AH12" i="21" s="1"/>
  <c r="Z11" i="21"/>
  <c r="AH11" i="21" s="1"/>
  <c r="Z9" i="21"/>
  <c r="AH9" i="21" s="1"/>
  <c r="AG30" i="16"/>
  <c r="L30" i="21"/>
  <c r="O30" i="21" s="1"/>
  <c r="AG63" i="16"/>
  <c r="L63" i="21"/>
  <c r="O63" i="21" s="1"/>
  <c r="AG67" i="16"/>
  <c r="L67" i="21"/>
  <c r="O67" i="21" s="1"/>
  <c r="AG71" i="16"/>
  <c r="L71" i="21"/>
  <c r="O71" i="21" s="1"/>
  <c r="AG32" i="16"/>
  <c r="L32" i="21"/>
  <c r="O32" i="21" s="1"/>
  <c r="AG62" i="16"/>
  <c r="L62" i="21"/>
  <c r="O62" i="21" s="1"/>
  <c r="AG37" i="16"/>
  <c r="L37" i="21"/>
  <c r="O37" i="21" s="1"/>
  <c r="AG35" i="16"/>
  <c r="L35" i="21"/>
  <c r="O35" i="21" s="1"/>
  <c r="AG31" i="16"/>
  <c r="L31" i="21"/>
  <c r="O31" i="21" s="1"/>
  <c r="AG26" i="16"/>
  <c r="L26" i="21"/>
  <c r="AG66" i="16"/>
  <c r="L66" i="21"/>
  <c r="O66" i="21" s="1"/>
  <c r="AG34" i="16"/>
  <c r="L34" i="21"/>
  <c r="O34" i="21" s="1"/>
  <c r="AG29" i="16"/>
  <c r="L29" i="21"/>
  <c r="O29" i="21" s="1"/>
  <c r="AG68" i="16"/>
  <c r="L68" i="21"/>
  <c r="O68" i="21" s="1"/>
  <c r="AG70" i="16"/>
  <c r="L70" i="21"/>
  <c r="O70" i="21" s="1"/>
  <c r="AG28" i="16"/>
  <c r="L28" i="21"/>
  <c r="O28" i="21" s="1"/>
  <c r="AG65" i="16"/>
  <c r="L65" i="21"/>
  <c r="O65" i="21" s="1"/>
  <c r="AG36" i="16"/>
  <c r="L36" i="21"/>
  <c r="O36" i="21" s="1"/>
  <c r="AG73" i="16"/>
  <c r="L102" i="21"/>
  <c r="O102" i="21" s="1"/>
  <c r="L107" i="21"/>
  <c r="O107" i="21" s="1"/>
  <c r="L99" i="21"/>
  <c r="O99" i="21" s="1"/>
  <c r="L109" i="21"/>
  <c r="O109" i="21" s="1"/>
  <c r="L106" i="21"/>
  <c r="O106" i="21" s="1"/>
  <c r="L103" i="21"/>
  <c r="O103" i="21" s="1"/>
  <c r="L101" i="21"/>
  <c r="O101" i="21" s="1"/>
  <c r="L98" i="21"/>
  <c r="O98" i="21" s="1"/>
  <c r="L104" i="21"/>
  <c r="O104" i="21" s="1"/>
  <c r="L100" i="21"/>
  <c r="O100" i="21" s="1"/>
  <c r="L105" i="21"/>
  <c r="O105" i="21" s="1"/>
  <c r="L108" i="21"/>
  <c r="O108" i="21" s="1"/>
  <c r="L73" i="21"/>
  <c r="O73" i="21" s="1"/>
  <c r="AG33" i="16"/>
  <c r="L33" i="21"/>
  <c r="O33" i="21" s="1"/>
  <c r="AG64" i="16"/>
  <c r="L64" i="21"/>
  <c r="O64" i="21" s="1"/>
  <c r="AG69" i="16"/>
  <c r="L69" i="21"/>
  <c r="O69" i="21" s="1"/>
  <c r="AG27" i="16"/>
  <c r="L27" i="21"/>
  <c r="O27" i="21" s="1"/>
  <c r="AG72" i="16"/>
  <c r="L72" i="21"/>
  <c r="O72" i="21" s="1"/>
  <c r="AP2" i="16"/>
  <c r="O26" i="21" l="1"/>
  <c r="W7" i="21" s="1"/>
  <c r="T7" i="21"/>
  <c r="AC7" i="21"/>
  <c r="AP7" i="16"/>
  <c r="AQ2" i="16"/>
  <c r="Z7" i="21" l="1"/>
  <c r="AH7" i="21" s="1"/>
  <c r="AQ7" i="16"/>
  <c r="AP9" i="16"/>
  <c r="AQ9" i="16" s="1"/>
  <c r="K2" i="21" l="1"/>
  <c r="N2" i="21"/>
  <c r="K3" i="21"/>
  <c r="N3" i="21"/>
  <c r="K4" i="21"/>
  <c r="N4" i="21"/>
  <c r="K5" i="21"/>
  <c r="N5" i="21"/>
  <c r="K6" i="21"/>
  <c r="N6" i="21"/>
  <c r="K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K8" i="21"/>
  <c r="N8" i="21"/>
  <c r="K9" i="21"/>
  <c r="N9" i="21"/>
  <c r="S9" i="21"/>
  <c r="V9" i="21"/>
  <c r="Y9" i="21"/>
  <c r="AB9" i="21"/>
  <c r="AE9" i="21"/>
  <c r="AG9" i="21"/>
  <c r="AJ9" i="21"/>
  <c r="K10" i="21"/>
  <c r="N10" i="21"/>
  <c r="S10" i="21"/>
  <c r="V10" i="21"/>
  <c r="Y10" i="21"/>
  <c r="AB10" i="21"/>
  <c r="AE10" i="21"/>
  <c r="AG10" i="21"/>
  <c r="AJ10" i="21"/>
  <c r="K11" i="21"/>
  <c r="N11" i="21"/>
  <c r="S11" i="21"/>
  <c r="V11" i="21"/>
  <c r="Y11" i="21"/>
  <c r="AB11" i="21"/>
  <c r="AE11" i="21"/>
  <c r="AG11" i="21"/>
  <c r="AJ11" i="21"/>
  <c r="K12" i="21"/>
  <c r="N12" i="21"/>
  <c r="S12" i="21"/>
  <c r="V12" i="21"/>
  <c r="Y12" i="21"/>
  <c r="AB12" i="21"/>
  <c r="AG12" i="21"/>
  <c r="AJ12" i="21"/>
  <c r="K13" i="21"/>
  <c r="N13" i="21"/>
  <c r="J14" i="21"/>
  <c r="M14" i="21"/>
  <c r="J15" i="21"/>
  <c r="M15" i="21"/>
  <c r="J16" i="21"/>
  <c r="M16" i="21"/>
  <c r="J17" i="21"/>
  <c r="M17" i="21"/>
  <c r="J18" i="21"/>
  <c r="M18" i="21"/>
  <c r="J19" i="21"/>
  <c r="M19" i="21"/>
  <c r="J20" i="21"/>
  <c r="M20" i="21"/>
  <c r="J21" i="21"/>
  <c r="M21" i="21"/>
  <c r="J22" i="21"/>
  <c r="M22" i="21"/>
  <c r="J23" i="21"/>
  <c r="M23" i="21"/>
  <c r="J24" i="21"/>
  <c r="M24" i="21"/>
  <c r="J25" i="21"/>
  <c r="M25" i="21"/>
  <c r="K26" i="21"/>
  <c r="N26" i="21"/>
  <c r="K27" i="21"/>
  <c r="N27" i="21"/>
  <c r="K28" i="21"/>
  <c r="N28" i="21"/>
  <c r="K29" i="21"/>
  <c r="N29" i="21"/>
  <c r="K30" i="21"/>
  <c r="N30" i="21"/>
  <c r="K31" i="21"/>
  <c r="N31" i="21"/>
  <c r="K32" i="21"/>
  <c r="N32" i="21"/>
  <c r="K33" i="21"/>
  <c r="N33" i="21"/>
  <c r="K34" i="21"/>
  <c r="N34" i="21"/>
  <c r="K35" i="21"/>
  <c r="N35" i="21"/>
  <c r="K36" i="21"/>
  <c r="N36" i="21"/>
  <c r="K37" i="21"/>
  <c r="N37" i="21"/>
  <c r="K38" i="21"/>
  <c r="N38" i="21"/>
  <c r="K39" i="21"/>
  <c r="N39" i="21"/>
  <c r="K40" i="21"/>
  <c r="N40" i="21"/>
  <c r="K41" i="21"/>
  <c r="N41" i="21"/>
  <c r="K42" i="21"/>
  <c r="N42" i="21"/>
  <c r="K43" i="21"/>
  <c r="N43" i="21"/>
  <c r="K44" i="21"/>
  <c r="N44" i="21"/>
  <c r="K45" i="21"/>
  <c r="N45" i="21"/>
  <c r="K46" i="21"/>
  <c r="N46" i="21"/>
  <c r="K47" i="21"/>
  <c r="N47" i="21"/>
  <c r="K48" i="21"/>
  <c r="N48" i="21"/>
  <c r="K49" i="21"/>
  <c r="N49" i="21"/>
  <c r="J50" i="21"/>
  <c r="M50" i="21"/>
  <c r="J51" i="21"/>
  <c r="M51" i="21"/>
  <c r="J52" i="21"/>
  <c r="M52" i="21"/>
  <c r="J53" i="21"/>
  <c r="M53" i="21"/>
  <c r="J54" i="21"/>
  <c r="M54" i="21"/>
  <c r="J55" i="21"/>
  <c r="M55" i="21"/>
  <c r="J56" i="21"/>
  <c r="M56" i="21"/>
  <c r="J57" i="21"/>
  <c r="M57" i="21"/>
  <c r="J58" i="21"/>
  <c r="M58" i="21"/>
  <c r="J59" i="21"/>
  <c r="M59" i="21"/>
  <c r="J60" i="21"/>
  <c r="M60" i="21"/>
  <c r="J61" i="21"/>
  <c r="M61" i="21"/>
  <c r="K62" i="21"/>
  <c r="N62" i="21"/>
  <c r="K63" i="21"/>
  <c r="N63" i="21"/>
  <c r="K64" i="21"/>
  <c r="N64" i="21"/>
  <c r="K65" i="21"/>
  <c r="N65" i="21"/>
  <c r="K66" i="21"/>
  <c r="N66" i="21"/>
  <c r="K67" i="21"/>
  <c r="N67" i="21"/>
  <c r="K68" i="21"/>
  <c r="N68" i="21"/>
  <c r="K69" i="21"/>
  <c r="N69" i="21"/>
  <c r="K70" i="21"/>
  <c r="N70" i="21"/>
  <c r="K71" i="21"/>
  <c r="N71" i="21"/>
  <c r="K72" i="21"/>
  <c r="N72" i="21"/>
  <c r="K73" i="21"/>
  <c r="N73" i="21"/>
  <c r="K74" i="21"/>
  <c r="N74" i="21"/>
  <c r="K75" i="21"/>
  <c r="N75" i="21"/>
  <c r="K76" i="21"/>
  <c r="N76" i="21"/>
  <c r="K77" i="21"/>
  <c r="N77" i="21"/>
  <c r="K78" i="21"/>
  <c r="N78" i="21"/>
  <c r="K79" i="21"/>
  <c r="N79" i="21"/>
  <c r="K80" i="21"/>
  <c r="N80" i="21"/>
  <c r="K81" i="21"/>
  <c r="N81" i="21"/>
  <c r="K82" i="21"/>
  <c r="N82" i="21"/>
  <c r="K83" i="21"/>
  <c r="N83" i="21"/>
  <c r="K84" i="21"/>
  <c r="N84" i="21"/>
  <c r="K85" i="21"/>
  <c r="N85" i="21"/>
  <c r="J86" i="21"/>
  <c r="M86" i="21"/>
  <c r="J87" i="21"/>
  <c r="M87" i="21"/>
  <c r="J88" i="21"/>
  <c r="M88" i="21"/>
  <c r="J89" i="21"/>
  <c r="M89" i="21"/>
  <c r="J90" i="21"/>
  <c r="M90" i="21"/>
  <c r="J91" i="21"/>
  <c r="M91" i="21"/>
  <c r="J92" i="21"/>
  <c r="M92" i="21"/>
  <c r="J93" i="21"/>
  <c r="M93" i="21"/>
  <c r="J94" i="21"/>
  <c r="M94" i="21"/>
  <c r="J95" i="21"/>
  <c r="M95" i="21"/>
  <c r="J96" i="21"/>
  <c r="M96" i="21"/>
  <c r="J97" i="21"/>
  <c r="M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K105" i="21"/>
  <c r="N105" i="21"/>
  <c r="K106" i="21"/>
  <c r="N106" i="21"/>
  <c r="K107" i="21"/>
  <c r="N107" i="21"/>
  <c r="K108" i="21"/>
  <c r="N108" i="21"/>
  <c r="K109" i="21"/>
  <c r="N109" i="21"/>
  <c r="K110" i="21"/>
  <c r="N110" i="21"/>
  <c r="K111" i="21"/>
  <c r="N111" i="21"/>
  <c r="K112" i="21"/>
  <c r="N112" i="21"/>
  <c r="K113" i="21"/>
  <c r="N113" i="21"/>
  <c r="K114" i="21"/>
  <c r="N114" i="21"/>
  <c r="K115" i="21"/>
  <c r="N115" i="21"/>
  <c r="K116" i="21"/>
  <c r="N116" i="21"/>
  <c r="K117" i="21"/>
  <c r="N117" i="21"/>
  <c r="K118" i="21"/>
  <c r="N118" i="21"/>
  <c r="K119" i="21"/>
  <c r="N119" i="21"/>
  <c r="K120" i="21"/>
  <c r="N120" i="21"/>
  <c r="K121" i="21"/>
  <c r="N121" i="21"/>
  <c r="K122" i="21"/>
  <c r="N122" i="21"/>
  <c r="K123" i="21"/>
  <c r="N123" i="21"/>
  <c r="K124" i="21"/>
  <c r="N124" i="21"/>
  <c r="K125" i="21"/>
  <c r="N125" i="21"/>
  <c r="K126" i="21"/>
  <c r="N126" i="21"/>
  <c r="K127" i="21"/>
  <c r="N127" i="21"/>
  <c r="K128" i="21"/>
  <c r="N128" i="21"/>
  <c r="K129" i="21"/>
  <c r="N129" i="21"/>
  <c r="K130" i="21"/>
  <c r="N130" i="21"/>
  <c r="K131" i="21"/>
  <c r="N131" i="21"/>
  <c r="K132" i="21"/>
  <c r="N132" i="21"/>
  <c r="K133" i="21"/>
  <c r="N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K141" i="21"/>
  <c r="N141" i="21"/>
  <c r="K142" i="21"/>
  <c r="N142" i="21"/>
  <c r="K143" i="21"/>
  <c r="N143" i="21"/>
  <c r="K144" i="21"/>
  <c r="N144" i="21"/>
  <c r="K145" i="21"/>
  <c r="N145" i="21"/>
  <c r="K146" i="21"/>
  <c r="N146" i="21"/>
  <c r="K147" i="21"/>
  <c r="N147" i="21"/>
  <c r="K148" i="21"/>
  <c r="N148" i="21"/>
  <c r="K149" i="21"/>
  <c r="N149" i="21"/>
  <c r="K150" i="21"/>
  <c r="N150" i="21"/>
  <c r="K151" i="21"/>
  <c r="N151" i="21"/>
  <c r="K152" i="21"/>
  <c r="N152" i="21"/>
  <c r="K153" i="21"/>
  <c r="N153" i="21"/>
  <c r="K154" i="21"/>
  <c r="N154" i="21"/>
  <c r="K155" i="21"/>
  <c r="N155" i="21"/>
  <c r="K156" i="21"/>
  <c r="N156" i="21"/>
  <c r="K157" i="21"/>
  <c r="N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K165" i="21"/>
  <c r="N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K194" i="21"/>
  <c r="N194" i="21"/>
  <c r="K195" i="21"/>
  <c r="N195" i="21"/>
  <c r="K196" i="21"/>
  <c r="N196" i="21"/>
  <c r="K197" i="21"/>
  <c r="N197" i="21"/>
  <c r="K198" i="21"/>
  <c r="N198" i="21"/>
  <c r="K199" i="21"/>
  <c r="N199" i="21"/>
  <c r="K200" i="21"/>
  <c r="N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D48" i="5"/>
  <c r="E48" i="5"/>
  <c r="F48" i="5"/>
  <c r="D49" i="5"/>
  <c r="E49" i="5"/>
  <c r="F49" i="5"/>
  <c r="Z2" i="16"/>
  <c r="AF2" i="16"/>
  <c r="AK2" i="16"/>
  <c r="AL2" i="16"/>
  <c r="AU2" i="16"/>
  <c r="AV2" i="16"/>
  <c r="Z3" i="16"/>
  <c r="AF3" i="16"/>
  <c r="AK3" i="16"/>
  <c r="AL3" i="16"/>
  <c r="AU3" i="16"/>
  <c r="AV3" i="16"/>
  <c r="Z4" i="16"/>
  <c r="AF4" i="16"/>
  <c r="AK4" i="16"/>
  <c r="AL4" i="16"/>
  <c r="AU4" i="16"/>
  <c r="AV4" i="16"/>
  <c r="Z5" i="16"/>
  <c r="AF5" i="16"/>
  <c r="AK5" i="16"/>
  <c r="AL5" i="16"/>
  <c r="AU5" i="16"/>
  <c r="AV5" i="16"/>
  <c r="Z6" i="16"/>
  <c r="AF6" i="16"/>
  <c r="AK6" i="16"/>
  <c r="AL6" i="16"/>
  <c r="AU6" i="16"/>
  <c r="AV6" i="16"/>
  <c r="Z7" i="16"/>
  <c r="AF7" i="16"/>
  <c r="AK7" i="16"/>
  <c r="AL7" i="16"/>
  <c r="AU7" i="16"/>
  <c r="AV7" i="16"/>
  <c r="Z8" i="16"/>
  <c r="AF8" i="16"/>
  <c r="AK8" i="16"/>
  <c r="AL8" i="16"/>
  <c r="AU8" i="16"/>
  <c r="AV8" i="16"/>
  <c r="Z9" i="16"/>
  <c r="AF9" i="16"/>
  <c r="AK9" i="16"/>
  <c r="AL9" i="16"/>
  <c r="AU9" i="16"/>
  <c r="AV9" i="16"/>
  <c r="Z10" i="16"/>
  <c r="AF10" i="16"/>
  <c r="Z11" i="16"/>
  <c r="AF11" i="16"/>
  <c r="Z12" i="16"/>
  <c r="AF12" i="16"/>
  <c r="Z13" i="16"/>
  <c r="AF13" i="16"/>
  <c r="Y14" i="16"/>
  <c r="AE14" i="16"/>
  <c r="Y15" i="16"/>
  <c r="AE15" i="16"/>
  <c r="Y16" i="16"/>
  <c r="AE16" i="16"/>
  <c r="Y17" i="16"/>
  <c r="AE17" i="16"/>
  <c r="Y18" i="16"/>
  <c r="AE18" i="16"/>
  <c r="Y19" i="16"/>
  <c r="AE19" i="16"/>
  <c r="Y20" i="16"/>
  <c r="AE20" i="16"/>
  <c r="Y21" i="16"/>
  <c r="AE21" i="16"/>
  <c r="Y22" i="16"/>
  <c r="AE22" i="16"/>
  <c r="Y23" i="16"/>
  <c r="AE23" i="16"/>
  <c r="Y24" i="16"/>
  <c r="AE24" i="16"/>
  <c r="Y25" i="16"/>
  <c r="AE25" i="16"/>
  <c r="Z26" i="16"/>
  <c r="AF26" i="16"/>
  <c r="Z27" i="16"/>
  <c r="AF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Z38" i="16"/>
  <c r="AF38" i="16"/>
  <c r="Z39" i="16"/>
  <c r="AF39" i="16"/>
  <c r="Z40" i="16"/>
  <c r="AF40" i="16"/>
  <c r="Z41" i="16"/>
  <c r="AF41" i="16"/>
  <c r="Z42" i="16"/>
  <c r="AF42" i="16"/>
  <c r="Z43" i="16"/>
  <c r="AF43" i="16"/>
  <c r="Z44" i="16"/>
  <c r="AF44" i="16"/>
  <c r="Z45" i="16"/>
  <c r="AF45" i="16"/>
  <c r="Z46" i="16"/>
  <c r="AF46" i="16"/>
  <c r="Z47" i="16"/>
  <c r="AF47" i="16"/>
  <c r="Z48" i="16"/>
  <c r="AF48" i="16"/>
  <c r="Z49" i="16"/>
  <c r="AF49" i="16"/>
  <c r="Y50" i="16"/>
  <c r="AE50" i="16"/>
  <c r="Y51" i="16"/>
  <c r="AE51" i="16"/>
  <c r="Y52" i="16"/>
  <c r="AE52" i="16"/>
  <c r="Y53" i="16"/>
  <c r="AE53" i="16"/>
  <c r="Y54" i="16"/>
  <c r="AE54" i="16"/>
  <c r="Y55" i="16"/>
  <c r="AE55" i="16"/>
  <c r="Y56" i="16"/>
  <c r="AE56" i="16"/>
  <c r="Y57" i="16"/>
  <c r="AE57" i="16"/>
  <c r="Y58" i="16"/>
  <c r="AE58" i="16"/>
  <c r="Y59" i="16"/>
  <c r="AE59" i="16"/>
  <c r="Y60" i="16"/>
  <c r="AE60" i="16"/>
  <c r="Y61" i="16"/>
  <c r="AE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Z68" i="16"/>
  <c r="AF68" i="16"/>
  <c r="Z69" i="16"/>
  <c r="AF69" i="16"/>
  <c r="Z70" i="16"/>
  <c r="AF70" i="16"/>
  <c r="Z71" i="16"/>
  <c r="AF71" i="16"/>
  <c r="Z72" i="16"/>
  <c r="AF72" i="16"/>
  <c r="Z73" i="16"/>
  <c r="AF73" i="16"/>
  <c r="Z74" i="16"/>
  <c r="AF74" i="16"/>
  <c r="Z75" i="16"/>
  <c r="AF75" i="16"/>
  <c r="Z76" i="16"/>
  <c r="AF76" i="16"/>
  <c r="Z77" i="16"/>
  <c r="AF77" i="16"/>
  <c r="Z78" i="16"/>
  <c r="AF78" i="16"/>
  <c r="Z79" i="16"/>
  <c r="AF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Y86" i="16"/>
  <c r="AE86" i="16"/>
  <c r="Y87" i="16"/>
  <c r="AE87" i="16"/>
  <c r="Y88" i="16"/>
  <c r="AE88" i="16"/>
  <c r="Y89" i="16"/>
  <c r="AE89" i="16"/>
  <c r="Y90" i="16"/>
  <c r="AE90" i="16"/>
  <c r="Y91" i="16"/>
  <c r="AE91" i="16"/>
  <c r="Y92" i="16"/>
  <c r="AE92" i="16"/>
  <c r="Y93" i="16"/>
  <c r="AE93" i="16"/>
  <c r="Y94" i="16"/>
  <c r="AE94" i="16"/>
  <c r="Y95" i="16"/>
  <c r="AE95" i="16"/>
  <c r="Y96" i="16"/>
  <c r="AE96" i="16"/>
  <c r="Y97" i="16"/>
  <c r="AE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Z2" i="17"/>
  <c r="AE2" i="17"/>
  <c r="Z3" i="17"/>
  <c r="AE3" i="17"/>
  <c r="Z4" i="17"/>
  <c r="AE4" i="17"/>
  <c r="Z5" i="17"/>
  <c r="AE5" i="17"/>
  <c r="AJ5" i="17"/>
  <c r="Z6" i="17"/>
  <c r="AE6" i="17"/>
  <c r="AJ6" i="17"/>
  <c r="Z7" i="17"/>
  <c r="AE7" i="17"/>
  <c r="AJ7" i="17"/>
  <c r="Z8" i="17"/>
  <c r="AE8" i="17"/>
  <c r="AJ8" i="17"/>
  <c r="Z9" i="17"/>
  <c r="AE9" i="17"/>
  <c r="Z10" i="17"/>
  <c r="AE10" i="17"/>
  <c r="Z11" i="17"/>
  <c r="AE11" i="17"/>
  <c r="Z12" i="17"/>
  <c r="AE12" i="17"/>
  <c r="Z13" i="17"/>
  <c r="AE13" i="17"/>
  <c r="Y14" i="17"/>
  <c r="AD14" i="17"/>
  <c r="Y15" i="17"/>
  <c r="AD15" i="17"/>
  <c r="Y16" i="17"/>
  <c r="AD16" i="17"/>
  <c r="Y17" i="17"/>
  <c r="AD17" i="17"/>
  <c r="Y18" i="17"/>
  <c r="AD18" i="17"/>
  <c r="Y19" i="17"/>
  <c r="AD19" i="17"/>
  <c r="Y20" i="17"/>
  <c r="AD20" i="17"/>
  <c r="Y21" i="17"/>
  <c r="AD21" i="17"/>
  <c r="Y22" i="17"/>
  <c r="AD22" i="17"/>
  <c r="Y23" i="17"/>
  <c r="AD23" i="17"/>
  <c r="Y24" i="17"/>
  <c r="AD24" i="17"/>
  <c r="Y25" i="17"/>
  <c r="AD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6B55031D-3076-4C93-B2C9-607D5BA2323C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sharedStrings.xml><?xml version="1.0" encoding="utf-8"?>
<sst xmlns="http://schemas.openxmlformats.org/spreadsheetml/2006/main" count="17186" uniqueCount="989">
  <si>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</si>
  <si>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</si>
  <si>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</si>
  <si>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</si>
  <si>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</si>
  <si>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</si>
  <si>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</si>
  <si>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</si>
  <si>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</si>
  <si>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</si>
  <si>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</si>
  <si>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</si>
  <si>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</si>
  <si>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</si>
  <si>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</si>
  <si>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</si>
  <si>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</si>
  <si>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</si>
  <si>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</si>
  <si>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</si>
  <si>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</si>
  <si>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</si>
  <si>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</si>
  <si>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</si>
  <si>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</si>
  <si>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</si>
  <si>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</si>
  <si>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</si>
  <si>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</si>
  <si>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</si>
  <si>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</si>
  <si>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</si>
  <si>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</si>
  <si>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</si>
  <si>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</si>
  <si>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</si>
  <si>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</si>
  <si>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</si>
  <si>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</si>
  <si>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</si>
  <si>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</si>
  <si>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</si>
  <si>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</si>
  <si>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</si>
  <si>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</si>
  <si>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</si>
  <si>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Iluminação pública – B4b</t>
  </si>
  <si>
    <t>Serviço público</t>
  </si>
  <si>
    <t>Água, esgoto e saneamento</t>
  </si>
  <si>
    <t>Consumo próprio</t>
  </si>
  <si>
    <t>Aquicultura</t>
  </si>
  <si>
    <t>IRRIG./AQUIC.</t>
  </si>
  <si>
    <t>IRRIG./AQUIC. PR</t>
  </si>
  <si>
    <t>Agropecuária rural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</si>
  <si>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</si>
  <si>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</si>
  <si>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</si>
  <si>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</si>
  <si>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</si>
  <si>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</si>
  <si>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</si>
  <si>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</si>
  <si>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</si>
  <si>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</si>
  <si>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</si>
  <si>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</si>
  <si>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</si>
  <si>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</si>
  <si>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</si>
  <si>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</si>
  <si>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</si>
  <si>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</si>
  <si>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</si>
  <si>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</si>
  <si>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</si>
  <si>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</si>
  <si>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</si>
  <si>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</si>
  <si>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</si>
  <si>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</si>
  <si>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</si>
  <si>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</si>
  <si>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</si>
  <si>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</si>
  <si>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</si>
  <si>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</si>
  <si>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</si>
  <si>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</si>
  <si>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</si>
  <si>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</si>
  <si>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CHAVE TUSD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</si>
  <si>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</si>
  <si>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</si>
  <si>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</si>
  <si>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</si>
  <si>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</si>
  <si>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</si>
  <si>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</si>
  <si>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</si>
  <si>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</si>
  <si>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</si>
  <si>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</si>
  <si>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</si>
  <si>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</si>
  <si>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</si>
  <si>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</si>
  <si>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</si>
  <si>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</si>
  <si>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</si>
  <si>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</si>
  <si>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</si>
  <si>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</si>
  <si>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</si>
  <si>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</si>
  <si>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</si>
  <si>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</si>
  <si>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</si>
  <si>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</si>
  <si>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</si>
  <si>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</si>
  <si>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</si>
  <si>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</si>
  <si>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</si>
  <si>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</si>
  <si>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</si>
  <si>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</si>
  <si>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</si>
  <si>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</si>
  <si>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</si>
  <si>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</si>
  <si>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</si>
  <si>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</si>
  <si>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</si>
  <si>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</si>
  <si>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</si>
  <si>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</si>
  <si>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</si>
  <si>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</si>
  <si>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</si>
  <si>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</si>
  <si>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</si>
  <si>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</si>
  <si>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</si>
  <si>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</si>
  <si>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</si>
  <si>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</si>
  <si>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</si>
  <si>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</si>
  <si>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</si>
  <si>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</si>
  <si>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</si>
  <si>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</si>
  <si>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</si>
  <si>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</si>
  <si>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</si>
  <si>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</si>
  <si>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</si>
  <si>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</si>
  <si>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</si>
  <si>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</si>
  <si>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</si>
  <si>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</si>
  <si>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</si>
  <si>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</si>
  <si>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</si>
  <si>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</si>
  <si>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</si>
  <si>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</si>
  <si>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</si>
  <si>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</si>
  <si>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</si>
  <si>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</si>
  <si>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</si>
  <si>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</si>
  <si>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</si>
  <si>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</si>
  <si>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</si>
  <si>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</si>
  <si>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</si>
  <si>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</si>
  <si>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</si>
  <si>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</si>
  <si>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</si>
  <si>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</si>
  <si>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</si>
  <si>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</si>
  <si>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</si>
  <si>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</si>
  <si>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</si>
  <si>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</si>
  <si>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</si>
  <si>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</si>
  <si>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</si>
  <si>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</si>
  <si>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</si>
  <si>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</si>
  <si>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</si>
  <si>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</si>
  <si>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</si>
  <si>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</si>
  <si>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</si>
  <si>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</si>
  <si>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</si>
  <si>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</si>
  <si>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</si>
  <si>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</si>
  <si>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</si>
  <si>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</si>
  <si>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</si>
  <si>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</si>
  <si>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</si>
  <si>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</si>
  <si>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</si>
  <si>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</si>
  <si>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</si>
  <si>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</si>
  <si>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</si>
  <si>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</si>
  <si>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</si>
  <si>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</si>
  <si>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</si>
  <si>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</si>
  <si>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</si>
  <si>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44440B4ConvencionalIluminação públicaIluminação pública – B4bNão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</si>
  <si>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</si>
  <si>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</si>
  <si>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</si>
  <si>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</si>
  <si>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</si>
  <si>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</si>
  <si>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</si>
  <si>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</si>
  <si>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</si>
  <si>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</si>
  <si>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</si>
  <si>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</si>
  <si>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</si>
  <si>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</si>
  <si>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</si>
  <si>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</si>
  <si>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</si>
  <si>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</si>
  <si>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</si>
  <si>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</si>
  <si>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</si>
  <si>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</si>
  <si>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</si>
  <si>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</si>
  <si>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</si>
  <si>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</si>
  <si>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</si>
  <si>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</si>
  <si>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</si>
  <si>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</si>
  <si>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</si>
  <si>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</si>
  <si>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</si>
  <si>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</si>
  <si>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</si>
  <si>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</si>
  <si>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</si>
  <si>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</si>
  <si>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</si>
  <si>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</si>
  <si>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</si>
  <si>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</si>
  <si>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</si>
  <si>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</si>
  <si>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</si>
  <si>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</si>
  <si>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</si>
  <si>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</si>
  <si>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</si>
  <si>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</si>
  <si>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</si>
  <si>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</si>
  <si>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</si>
  <si>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</si>
  <si>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</si>
  <si>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</si>
  <si>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</si>
  <si>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</si>
  <si>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</si>
  <si>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</si>
  <si>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</si>
  <si>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</si>
  <si>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</si>
  <si>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</si>
  <si>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</si>
  <si>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</si>
  <si>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</si>
  <si>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</si>
  <si>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</si>
  <si>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</si>
  <si>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</si>
  <si>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</si>
  <si>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</si>
  <si>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</si>
  <si>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</si>
  <si>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</si>
  <si>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</si>
  <si>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</si>
  <si>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</si>
  <si>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</si>
  <si>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</si>
  <si>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</si>
  <si>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</si>
  <si>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</si>
  <si>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</si>
  <si>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</si>
  <si>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</si>
  <si>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</si>
  <si>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</si>
  <si>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</si>
  <si>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</si>
  <si>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</si>
  <si>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</si>
  <si>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</si>
  <si>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</si>
  <si>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</si>
  <si>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</si>
  <si>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</si>
  <si>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</si>
  <si>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</si>
  <si>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</si>
  <si>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</si>
  <si>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</si>
  <si>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</si>
  <si>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</si>
  <si>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</si>
  <si>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</si>
  <si>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</si>
  <si>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</si>
  <si>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</si>
  <si>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</si>
  <si>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</si>
  <si>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</si>
  <si>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</si>
  <si>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</si>
  <si>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</si>
  <si>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</si>
  <si>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</si>
  <si>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</si>
  <si>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</si>
  <si>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</si>
  <si>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</si>
  <si>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</si>
  <si>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</si>
  <si>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</si>
  <si>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44440B4Energia convencionalIluminação públicaIluminação pública – B4bNão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</si>
  <si>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</si>
  <si>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</si>
  <si>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</si>
  <si>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</si>
  <si>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</si>
  <si>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</si>
  <si>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</si>
  <si>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</si>
  <si>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</si>
  <si>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</si>
  <si>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</si>
  <si>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</si>
  <si>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</si>
  <si>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</si>
  <si>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</si>
  <si>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</si>
  <si>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</si>
  <si>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</si>
  <si>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</si>
  <si>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</si>
  <si>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</si>
  <si>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</si>
  <si>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</si>
  <si>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</si>
  <si>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</si>
  <si>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</si>
  <si>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</si>
  <si>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</si>
  <si>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</si>
  <si>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</si>
  <si>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</si>
  <si>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</si>
  <si>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</si>
  <si>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</si>
  <si>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</si>
  <si>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</si>
  <si>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</si>
  <si>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</si>
  <si>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</si>
  <si>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</si>
  <si>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</si>
  <si>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</si>
  <si>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</si>
  <si>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</si>
  <si>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</si>
  <si>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</si>
  <si>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</si>
  <si>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</si>
  <si>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</si>
  <si>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</si>
  <si>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</si>
  <si>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</si>
  <si>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</si>
  <si>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</si>
  <si>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</si>
  <si>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</si>
  <si>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</si>
  <si>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</si>
  <si>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</si>
  <si>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</si>
  <si>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</si>
  <si>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</si>
  <si>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</si>
  <si>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</si>
  <si>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</si>
  <si>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</si>
  <si>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</si>
  <si>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</si>
  <si>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</si>
  <si>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</si>
  <si>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</si>
  <si>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</si>
  <si>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</si>
  <si>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</si>
  <si>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</si>
  <si>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</si>
  <si>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</si>
  <si>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</si>
  <si>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</si>
  <si>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</si>
  <si>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</si>
  <si>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</si>
  <si>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</si>
  <si>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</si>
  <si>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</si>
  <si>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</si>
  <si>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</si>
  <si>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</si>
  <si>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</si>
  <si>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</si>
  <si>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</si>
  <si>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</si>
  <si>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</si>
  <si>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</si>
  <si>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</si>
  <si>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</si>
  <si>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</si>
  <si>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</si>
  <si>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</si>
  <si>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</si>
  <si>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</si>
  <si>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2.947,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</si>
  <si>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</si>
  <si>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</si>
  <si>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</si>
  <si>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</si>
  <si>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</si>
  <si>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</si>
  <si>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</si>
  <si>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</si>
  <si>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</si>
  <si>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</si>
  <si>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</si>
  <si>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</si>
  <si>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</si>
  <si>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</si>
  <si>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</si>
  <si>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</si>
  <si>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</si>
  <si>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</si>
  <si>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</si>
  <si>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</si>
  <si>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</si>
  <si>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</si>
  <si>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</si>
  <si>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</si>
  <si>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</si>
  <si>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</si>
  <si>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</si>
  <si>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</si>
  <si>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</si>
  <si>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</si>
  <si>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</si>
  <si>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</si>
  <si>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</si>
  <si>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</si>
  <si>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</si>
  <si>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</si>
  <si>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</si>
  <si>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</si>
  <si>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</si>
  <si>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</si>
  <si>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</si>
  <si>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</si>
  <si>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</si>
  <si>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</si>
  <si>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</si>
  <si>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</si>
  <si>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Intermediário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</si>
  <si>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</si>
  <si>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</si>
  <si>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</si>
  <si>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</si>
  <si>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</si>
  <si>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</si>
  <si>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</si>
  <si>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</si>
  <si>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</si>
  <si>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</si>
  <si>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</si>
  <si>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</si>
  <si>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</si>
  <si>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</si>
  <si>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</si>
  <si>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</si>
  <si>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</si>
  <si>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</si>
  <si>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</si>
  <si>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</si>
  <si>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</si>
  <si>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</si>
  <si>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</si>
  <si>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</si>
  <si>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</si>
  <si>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</si>
  <si>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</si>
  <si>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</si>
  <si>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</si>
  <si>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</si>
  <si>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</si>
  <si>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</si>
  <si>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</si>
  <si>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</si>
  <si>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</si>
  <si>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</si>
  <si>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</si>
  <si>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</si>
  <si>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</si>
  <si>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</si>
  <si>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</si>
  <si>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</si>
  <si>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</si>
  <si>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</si>
  <si>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</si>
  <si>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</si>
  <si>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</si>
  <si>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</si>
  <si>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</si>
  <si>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</si>
  <si>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ÁGUA, ESGOTO E SANEAMENTO</t>
  </si>
  <si>
    <t>SUBSIDIO BAIXA RENDA</t>
  </si>
  <si>
    <t>SUBSIDIO RURAL</t>
  </si>
  <si>
    <t>SUBSIDIO IRRIGANTE/AQUICULTOR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</si>
  <si>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</si>
  <si>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</si>
  <si>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</si>
  <si>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</si>
  <si>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</si>
  <si>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</si>
  <si>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</si>
  <si>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</si>
  <si>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</si>
  <si>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</si>
  <si>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</si>
  <si>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</si>
  <si>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</si>
  <si>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 1Serviço públicoÁgua, esgoto e saneamentoPlanilha CUSTOA4</t>
  </si>
  <si>
    <t xml:space="preserve">Convencional </t>
  </si>
  <si>
    <t>2021</t>
  </si>
  <si>
    <t>Planilha CUSTO</t>
  </si>
  <si>
    <t>Convencional1RuralNão se aplicaRuralB2</t>
  </si>
  <si>
    <t>Branca1RuralNão se aplicaRuralB2</t>
  </si>
  <si>
    <t>Convencional1RuralCooperativa de eletrificação ruralPlanilha CUSTOB2</t>
  </si>
  <si>
    <t>Branca 1RuralCooperativa de eletrificação ruralPlanilha CUSTOB2</t>
  </si>
  <si>
    <t xml:space="preserve">Branca 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</si>
  <si>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</si>
  <si>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</si>
  <si>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</si>
  <si>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</si>
  <si>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Azul1RuralNão se aplicaPlanilha CustoA4</t>
  </si>
  <si>
    <t>Planilha Custo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</si>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</sst>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0" fontId="3" fillId="0" borderId="13" xfId="0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7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23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5.0486540058814139E-4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7.4601772374236749E-2</c:v>
                </c:pt>
                <c:pt idx="6">
                  <c:v>1.2901889898114553E-2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3.7021459164482469E-2</c:v>
                </c:pt>
                <c:pt idx="13">
                  <c:v>0</c:v>
                </c:pt>
                <c:pt idx="14">
                  <c:v>0</c:v>
                </c:pt>
                <c:pt idx="15">
                  <c:v>1.2028951863438605E-2</c:v>
                </c:pt>
                <c:pt idx="16">
                  <c:v>0</c:v>
                </c:pt>
                <c:pt idx="17">
                  <c:v>0</c:v>
                </c:pt>
                <c:pt idx="18">
                  <c:v>-8.1492383817521018E-3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B-40CB-A3DA-FD4458798EA4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4.8538284398033589E-4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9.3831895229321172E-2</c:v>
                </c:pt>
                <c:pt idx="6">
                  <c:v>1.9372429135429737E-2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4.2442936230296158E-2</c:v>
                </c:pt>
                <c:pt idx="13">
                  <c:v>0</c:v>
                </c:pt>
                <c:pt idx="14">
                  <c:v>0</c:v>
                </c:pt>
                <c:pt idx="15">
                  <c:v>5.7659214798460971E-3</c:v>
                </c:pt>
                <c:pt idx="16">
                  <c:v>0</c:v>
                </c:pt>
                <c:pt idx="17">
                  <c:v>0</c:v>
                </c:pt>
                <c:pt idx="18">
                  <c:v>-5.9051158602782157E-3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4B-40CB-A3DA-FD4458798EA4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4.8538284398033589E-4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9.3831895229321172E-2</c:v>
                </c:pt>
                <c:pt idx="6">
                  <c:v>1.9372429135429737E-2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4.2442936230296158E-2</c:v>
                </c:pt>
                <c:pt idx="13">
                  <c:v>0</c:v>
                </c:pt>
                <c:pt idx="14">
                  <c:v>0</c:v>
                </c:pt>
                <c:pt idx="15">
                  <c:v>5.7659214798460971E-3</c:v>
                </c:pt>
                <c:pt idx="16">
                  <c:v>0</c:v>
                </c:pt>
                <c:pt idx="17">
                  <c:v>0</c:v>
                </c:pt>
                <c:pt idx="18">
                  <c:v>-5.9051158602782157E-3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4B-40CB-A3DA-FD4458798EA4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414B-40CB-A3DA-FD4458798EA4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414B-40CB-A3DA-FD4458798EA4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414B-40CB-A3DA-FD4458798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464159"/>
        <c:axId val="1587456671"/>
      </c:radarChart>
      <c:catAx>
        <c:axId val="1587464159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87456671"/>
        <c:crosses val="autoZero"/>
        <c:auto val="1"/>
        <c:lblAlgn val="ctr"/>
        <c:lblOffset val="100"/>
        <c:noMultiLvlLbl val="0"/>
      </c:catAx>
      <c:valAx>
        <c:axId val="158745667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7464159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-6.1313141201960353E-2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7-47B7-948D-B14BDB07F2EE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-6.8088700626621826E-2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77-47B7-948D-B14BDB07F2EE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-6.8088700626621826E-2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77-47B7-948D-B14BDB07F2E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7177-47B7-948D-B14BDB07F2E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7177-47B7-948D-B14BDB07F2E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7177-47B7-948D-B14BDB07F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497967"/>
        <c:axId val="1742509199"/>
      </c:radarChart>
      <c:catAx>
        <c:axId val="1742497967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42509199"/>
        <c:crosses val="autoZero"/>
        <c:auto val="1"/>
        <c:lblAlgn val="ctr"/>
        <c:lblOffset val="100"/>
        <c:noMultiLvlLbl val="0"/>
      </c:catAx>
      <c:valAx>
        <c:axId val="174250919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2497967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B90E2F-1051-CF6C-0B18-23BFFAC85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295276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83713D-D9F3-D8F7-103E-89968F7F3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84604166665" createdVersion="5" refreshedVersion="8" minRefreshableVersion="3" recordCount="344" xr:uid="{54426F57-C79E-4A6B-B7A6-89B73BA93328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8">
        <s v="Comercial"/>
        <s v="Industrial"/>
        <s v="Serviço público"/>
        <s v="Residencial"/>
        <s v="Rural"/>
        <s v="Consumo próprio"/>
        <s v="Poder público"/>
        <s v="Iluminação pública"/>
      </sharedItems>
    </cacheField>
    <cacheField name="Subclasse" numFmtId="0">
      <sharedItems count="11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  <s v="Iluminação pública – B4b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908"/>
    </cacheField>
    <cacheField name="Daj" numFmtId="40">
      <sharedItems containsSemiMixedTypes="0" containsString="0" containsNumber="1" minValue="0" maxValue="1908"/>
    </cacheField>
    <cacheField name="TUSD_E" numFmtId="40">
      <sharedItems containsSemiMixedTypes="0" containsString="0" containsNumber="1" minValue="-2.93" maxValue="1074.8579999999999"/>
    </cacheField>
    <cacheField name="TUSD_Eaj" numFmtId="40">
      <sharedItems containsSemiMixedTypes="0" containsString="0" containsNumber="1" minValue="-2.93" maxValue="1074.8579999999999"/>
    </cacheField>
    <cacheField name="TE_E" numFmtId="40">
      <sharedItems containsSemiMixedTypes="0" containsString="0" containsNumber="1" minValue="-2.93" maxValue="1074.8579999999999"/>
    </cacheField>
    <cacheField name="TE_Eaj" numFmtId="40">
      <sharedItems containsSemiMixedTypes="0" containsString="0" containsNumber="1" minValue="-2.93" maxValue="1074.8579999999999"/>
    </cacheField>
    <cacheField name="UC" numFmtId="40">
      <sharedItems containsSemiMixedTypes="0" containsString="0" containsNumber="1" containsInteger="1" minValue="0" maxValue="4427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7"/>
    </cacheField>
    <cacheField name="CóD. AUX. TUSD R$/MWh" numFmtId="40">
      <sharedItems containsSemiMixedTypes="0" containsString="0" containsNumber="1" containsInteger="1" minValue="0" maxValue="50"/>
    </cacheField>
    <cacheField name="CóD. AUX. TE R$/MWh" numFmtId="40">
      <sharedItems containsSemiMixedTypes="0" containsString="0" containsNumber="1" containsInteger="1" minValue="0" maxValue="86"/>
    </cacheField>
    <cacheField name="TUSD (R$/kW)" numFmtId="40">
      <sharedItems containsSemiMixedTypes="0" containsString="0" containsNumber="1" minValue="0" maxValue="32.22"/>
    </cacheField>
    <cacheField name="TUSD (R$/MWh)" numFmtId="40">
      <sharedItems containsSemiMixedTypes="0" containsString="0" containsNumber="1" minValue="0" maxValue="2490.0500000000002"/>
    </cacheField>
    <cacheField name="TE (R$/MWh)" numFmtId="40">
      <sharedItems containsSemiMixedTypes="0" containsString="0" containsNumber="1" minValue="0" maxValue="165.21"/>
    </cacheField>
    <cacheField name="TUSD (R$/kW) NOVA" numFmtId="40">
      <sharedItems containsString="0" containsBlank="1" containsNumber="1" minValue="35.539439517455762" maxValue="35.539439517455762"/>
    </cacheField>
    <cacheField name="TUSD (R$/MWh) NOVA" numFmtId="40">
      <sharedItems containsString="0" containsBlank="1" containsNumber="1" minValue="97.29753337033091" maxValue="2761.3380858956325"/>
    </cacheField>
    <cacheField name="TE (R$/MWh) NOVA" numFmtId="40">
      <sharedItems containsString="0" containsBlank="1" containsNumber="1" minValue="52.225787005551524" maxValue="149.21653430157579"/>
    </cacheField>
    <cacheField name="RA0 ou RV - TUSD (kW)" numFmtId="40">
      <sharedItems containsSemiMixedTypes="0" containsString="0" containsNumber="1" minValue="0" maxValue="61475.759999999995"/>
    </cacheField>
    <cacheField name="RA0 ou RV - TUSD (MWh)" numFmtId="40">
      <sharedItems containsSemiMixedTypes="0" containsString="0" containsNumber="1" minValue="-1227.4649000000002" maxValue="511696.89947999996"/>
    </cacheField>
    <cacheField name="RA0 ou RV - TE (MWh)" numFmtId="40">
      <sharedItems containsSemiMixedTypes="0" containsString="0" containsNumber="1" minValue="-425.96340000000004" maxValue="177577.29018000001"/>
    </cacheField>
    <cacheField name="RA1 ou RRD - TUSD (kW)" numFmtId="40">
      <sharedItems containsSemiMixedTypes="0" containsString="0" containsNumber="1" minValue="0" maxValue="67809.250599305597"/>
    </cacheField>
    <cacheField name="RA1 ou RRD - TUSD (MWh)" numFmtId="40">
      <sharedItems containsSemiMixedTypes="0" containsString="0" containsNumber="1" minValue="-1509.9994044951814" maxValue="589294.51017242088"/>
    </cacheField>
    <cacheField name="RA1 ou RRD - TE (MWh)" numFmtId="40">
      <sharedItems containsSemiMixedTypes="0" containsString="0" containsNumber="1" minValue="-410.9721787734" maxValue="160386.58562632315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684691203707" createdVersion="5" refreshedVersion="8" minRefreshableVersion="3" recordCount="155" xr:uid="{7017C274-031C-4C70-8EE6-97204CC2F516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Serviço público"/>
        <s v="Residencial"/>
        <s v="Rural"/>
      </sharedItems>
    </cacheField>
    <cacheField name="Subclasse" numFmtId="0">
      <sharedItems count="9"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Não se aplic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55"/>
    </cacheField>
    <cacheField name="Daj" numFmtId="40">
      <sharedItems containsSemiMixedTypes="0" containsString="0" containsNumber="1" minValue="0" maxValue="46.75"/>
    </cacheField>
    <cacheField name="TUSD_E" numFmtId="40">
      <sharedItems containsSemiMixedTypes="0" containsString="0" containsNumber="1" minValue="-2.93" maxValue="821.30100000000004"/>
    </cacheField>
    <cacheField name="TUSD_Eaj" numFmtId="40">
      <sharedItems containsSemiMixedTypes="0" containsString="0" containsNumber="1" minValue="-2.93" maxValue="821.30100000000004"/>
    </cacheField>
    <cacheField name="TE_E" numFmtId="40">
      <sharedItems containsSemiMixedTypes="0" containsString="0" containsNumber="1" minValue="-2.93" maxValue="821.30100000000004"/>
    </cacheField>
    <cacheField name="TE_Eaj" numFmtId="40">
      <sharedItems containsSemiMixedTypes="0" containsString="0" containsNumber="1" minValue="-2.93" maxValue="821.30100000000004"/>
    </cacheField>
    <cacheField name="UC" numFmtId="40">
      <sharedItems containsSemiMixedTypes="0" containsString="0" containsNumber="1" containsInteger="1" minValue="0" maxValue="4410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7"/>
    </cacheField>
    <cacheField name="CóD. AUX. TUSD R$/MWh" numFmtId="0">
      <sharedItems containsSemiMixedTypes="0" containsString="0" containsNumber="1" containsInteger="1" minValue="0" maxValue="50"/>
    </cacheField>
    <cacheField name="CóD. AUX. TE R$/MWh" numFmtId="0">
      <sharedItems containsSemiMixedTypes="0" containsString="0" containsNumber="1" containsInteger="1" minValue="0" maxValue="83"/>
    </cacheField>
    <cacheField name="TUSD (R$/kW)" numFmtId="40">
      <sharedItems containsSemiMixedTypes="0" containsString="0" containsNumber="1" minValue="0" maxValue="32.22"/>
    </cacheField>
    <cacheField name="TUSD (R$/MWh)" numFmtId="40">
      <sharedItems containsSemiMixedTypes="0" containsString="0" containsNumber="1" minValue="0" maxValue="2490.0500000000002"/>
    </cacheField>
    <cacheField name="TE (R$/MWh)" numFmtId="40">
      <sharedItems containsSemiMixedTypes="0" containsString="0" containsNumber="1" minValue="0" maxValue="165.21"/>
    </cacheField>
    <cacheField name="TUSD (R$/kW) NOVA" numFmtId="40">
      <sharedItems containsString="0" containsBlank="1" containsNumber="1" minValue="35.539439517455762" maxValue="35.539439517455762"/>
    </cacheField>
    <cacheField name="TUSD (R$/MWh) NOVA" numFmtId="40">
      <sharedItems containsString="0" containsBlank="1" containsNumber="1" minValue="97.29753337033091" maxValue="2761.3380858956325"/>
    </cacheField>
    <cacheField name="TE (R$/MWh) NOVA" numFmtId="40">
      <sharedItems containsString="0" containsBlank="1" containsNumber="1" minValue="52.225787005551524" maxValue="149.21653430157579"/>
    </cacheField>
    <cacheField name="SUBSIDIO kW - TV" numFmtId="40">
      <sharedItems containsSemiMixedTypes="0" containsString="0" containsNumber="1" minValue="0" maxValue="265.815"/>
    </cacheField>
    <cacheField name="SUBSIDIO MWh - TV" numFmtId="40">
      <sharedItems containsSemiMixedTypes="0" containsString="0" containsNumber="1" minValue="-225.49279999999996" maxValue="26025.178399999993"/>
    </cacheField>
    <cacheField name="SUBSIDIO kW - TN" numFmtId="40">
      <sharedItems containsSemiMixedTypes="0" containsString="0" containsNumber="1" minValue="0" maxValue="293.20037601901004"/>
    </cacheField>
    <cacheField name="SUBSIDIO MWh - TN" numFmtId="40">
      <sharedItems containsSemiMixedTypes="0" containsString="0" containsNumber="1" minValue="-122.61520744267581" maxValue="14151.594411212447"/>
    </cacheField>
    <cacheField name="TIPO" numFmtId="0">
      <sharedItems containsBlank="1" count="5">
        <s v="SUBSIDIO ÁGUA, ESGOTO E SANEAMENTO"/>
        <m/>
        <s v="SUBSIDIO BAIXA RENDA"/>
        <s v="SUBSIDIO RURAL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4">
  <r>
    <s v="Regular"/>
    <x v="0"/>
    <x v="0"/>
    <x v="0"/>
    <x v="0"/>
    <x v="0"/>
    <x v="0"/>
    <x v="0"/>
    <x v="0"/>
    <n v="0"/>
    <n v="0"/>
    <n v="204.73599999999999"/>
    <n v="204.73599999999999"/>
    <n v="204.73599999999999"/>
    <n v="204.73599999999999"/>
    <n v="0"/>
    <x v="0"/>
    <n v="0"/>
    <n v="0"/>
    <n v="11"/>
    <n v="56"/>
    <n v="0"/>
    <n v="67.52"/>
    <n v="165.21"/>
    <m/>
    <n v="97.29753337033091"/>
    <n v="149.21653430157579"/>
    <n v="0"/>
    <n v="13823.774719999998"/>
    <n v="33824.434560000002"/>
    <n v="0"/>
    <n v="19920.307792108069"/>
    <n v="30549.99636676742"/>
  </r>
  <r>
    <s v="Regular"/>
    <x v="0"/>
    <x v="0"/>
    <x v="0"/>
    <x v="0"/>
    <x v="0"/>
    <x v="0"/>
    <x v="0"/>
    <x v="1"/>
    <n v="0"/>
    <n v="0"/>
    <n v="190.821"/>
    <n v="190.821"/>
    <n v="190.821"/>
    <n v="190.821"/>
    <n v="0"/>
    <x v="0"/>
    <n v="0"/>
    <n v="0"/>
    <n v="11"/>
    <n v="56"/>
    <n v="0"/>
    <n v="67.52"/>
    <n v="165.21"/>
    <m/>
    <n v="97.29753337033091"/>
    <n v="149.21653430157579"/>
    <n v="0"/>
    <n v="12884.233919999999"/>
    <n v="31525.537410000001"/>
    <n v="0"/>
    <n v="18566.412615259913"/>
    <n v="28473.648291960995"/>
  </r>
  <r>
    <s v="Regular"/>
    <x v="0"/>
    <x v="0"/>
    <x v="0"/>
    <x v="0"/>
    <x v="0"/>
    <x v="0"/>
    <x v="0"/>
    <x v="2"/>
    <n v="0"/>
    <n v="0"/>
    <n v="263.74299999999999"/>
    <n v="263.74299999999999"/>
    <n v="263.74299999999999"/>
    <n v="263.74299999999999"/>
    <n v="0"/>
    <x v="0"/>
    <n v="0"/>
    <n v="0"/>
    <n v="11"/>
    <n v="56"/>
    <n v="0"/>
    <n v="67.52"/>
    <n v="165.21"/>
    <m/>
    <n v="97.29753337033091"/>
    <n v="149.21653430157579"/>
    <n v="0"/>
    <n v="17807.927359999998"/>
    <n v="43572.981030000003"/>
    <n v="0"/>
    <n v="25661.543343691184"/>
    <n v="39354.816406300502"/>
  </r>
  <r>
    <s v="Regular"/>
    <x v="0"/>
    <x v="0"/>
    <x v="0"/>
    <x v="0"/>
    <x v="0"/>
    <x v="0"/>
    <x v="0"/>
    <x v="3"/>
    <n v="0"/>
    <n v="0"/>
    <n v="256.03899999999999"/>
    <n v="256.03899999999999"/>
    <n v="256.03899999999999"/>
    <n v="256.03899999999999"/>
    <n v="0"/>
    <x v="0"/>
    <n v="0"/>
    <n v="0"/>
    <n v="11"/>
    <n v="56"/>
    <n v="0"/>
    <n v="67.52"/>
    <n v="165.21"/>
    <m/>
    <n v="97.29753337033091"/>
    <n v="149.21653430157579"/>
    <n v="0"/>
    <n v="17287.753279999997"/>
    <n v="42300.20319"/>
    <n v="0"/>
    <n v="24911.963146606155"/>
    <n v="38205.252226041164"/>
  </r>
  <r>
    <s v="Regular"/>
    <x v="0"/>
    <x v="0"/>
    <x v="0"/>
    <x v="0"/>
    <x v="0"/>
    <x v="0"/>
    <x v="0"/>
    <x v="4"/>
    <n v="0"/>
    <n v="0"/>
    <n v="370.37299999999999"/>
    <n v="370.37299999999999"/>
    <n v="370.37299999999999"/>
    <n v="370.37299999999999"/>
    <n v="0"/>
    <x v="0"/>
    <n v="0"/>
    <n v="0"/>
    <n v="11"/>
    <n v="56"/>
    <n v="0"/>
    <n v="67.52"/>
    <n v="165.21"/>
    <m/>
    <n v="97.29753337033091"/>
    <n v="149.21653430157579"/>
    <n v="0"/>
    <n v="25007.584959999996"/>
    <n v="61189.323329999999"/>
    <n v="0"/>
    <n v="36036.379326969567"/>
    <n v="55265.775458877528"/>
  </r>
  <r>
    <s v="Regular"/>
    <x v="0"/>
    <x v="0"/>
    <x v="0"/>
    <x v="0"/>
    <x v="0"/>
    <x v="0"/>
    <x v="0"/>
    <x v="5"/>
    <n v="0"/>
    <n v="0"/>
    <n v="223.58099999999999"/>
    <n v="223.58099999999999"/>
    <n v="223.58099999999999"/>
    <n v="223.58099999999999"/>
    <n v="0"/>
    <x v="0"/>
    <n v="0"/>
    <n v="0"/>
    <n v="11"/>
    <n v="56"/>
    <n v="0"/>
    <n v="67.52"/>
    <n v="165.21"/>
    <m/>
    <n v="97.29753337033091"/>
    <n v="149.21653430157579"/>
    <n v="0"/>
    <n v="15096.189119999999"/>
    <n v="36937.817009999999"/>
    <n v="0"/>
    <n v="21753.879808471953"/>
    <n v="33361.981955680618"/>
  </r>
  <r>
    <s v="Regular"/>
    <x v="0"/>
    <x v="0"/>
    <x v="0"/>
    <x v="0"/>
    <x v="0"/>
    <x v="0"/>
    <x v="0"/>
    <x v="6"/>
    <n v="0"/>
    <n v="0"/>
    <n v="280.32499999999999"/>
    <n v="280.32499999999999"/>
    <n v="280.32499999999999"/>
    <n v="280.32499999999999"/>
    <n v="0"/>
    <x v="0"/>
    <n v="0"/>
    <n v="0"/>
    <n v="11"/>
    <n v="56"/>
    <n v="0"/>
    <n v="67.52"/>
    <n v="165.21"/>
    <m/>
    <n v="97.29753337033091"/>
    <n v="149.21653430157579"/>
    <n v="0"/>
    <n v="18927.543999999998"/>
    <n v="46312.49325"/>
    <n v="0"/>
    <n v="27274.93104203801"/>
    <n v="41829.124978089232"/>
  </r>
  <r>
    <s v="Regular"/>
    <x v="0"/>
    <x v="0"/>
    <x v="0"/>
    <x v="0"/>
    <x v="0"/>
    <x v="0"/>
    <x v="0"/>
    <x v="7"/>
    <n v="0"/>
    <n v="0"/>
    <n v="200.477"/>
    <n v="200.477"/>
    <n v="200.477"/>
    <n v="200.477"/>
    <n v="0"/>
    <x v="0"/>
    <n v="0"/>
    <n v="0"/>
    <n v="11"/>
    <n v="56"/>
    <n v="0"/>
    <n v="67.52"/>
    <n v="165.21"/>
    <m/>
    <n v="97.29753337033091"/>
    <n v="149.21653430157579"/>
    <n v="0"/>
    <n v="13536.207039999999"/>
    <n v="33120.80517"/>
    <n v="0"/>
    <n v="19505.917597483829"/>
    <n v="29914.483147177012"/>
  </r>
  <r>
    <s v="Regular"/>
    <x v="0"/>
    <x v="0"/>
    <x v="0"/>
    <x v="0"/>
    <x v="0"/>
    <x v="0"/>
    <x v="0"/>
    <x v="8"/>
    <n v="0"/>
    <n v="0"/>
    <n v="191.83500000000001"/>
    <n v="191.83500000000001"/>
    <n v="191.83500000000001"/>
    <n v="191.83500000000001"/>
    <n v="0"/>
    <x v="0"/>
    <n v="0"/>
    <n v="0"/>
    <n v="11"/>
    <n v="56"/>
    <n v="0"/>
    <n v="67.52"/>
    <n v="165.21"/>
    <m/>
    <n v="97.29753337033091"/>
    <n v="149.21653430157579"/>
    <n v="0"/>
    <n v="12952.699199999999"/>
    <n v="31693.060350000003"/>
    <n v="0"/>
    <n v="18665.07231409743"/>
    <n v="28624.953857742792"/>
  </r>
  <r>
    <s v="Regular"/>
    <x v="0"/>
    <x v="0"/>
    <x v="0"/>
    <x v="0"/>
    <x v="0"/>
    <x v="0"/>
    <x v="0"/>
    <x v="9"/>
    <n v="0"/>
    <n v="0"/>
    <n v="183.50299999999999"/>
    <n v="183.50299999999999"/>
    <n v="183.50299999999999"/>
    <n v="183.50299999999999"/>
    <n v="0"/>
    <x v="0"/>
    <n v="0"/>
    <n v="0"/>
    <n v="11"/>
    <n v="56"/>
    <n v="0"/>
    <n v="67.52"/>
    <n v="165.21"/>
    <m/>
    <n v="97.29753337033091"/>
    <n v="149.21653430157579"/>
    <n v="0"/>
    <n v="12390.122559999998"/>
    <n v="30316.530629999997"/>
    <n v="0"/>
    <n v="17854.38926605583"/>
    <n v="27381.681693942061"/>
  </r>
  <r>
    <s v="Regular"/>
    <x v="0"/>
    <x v="0"/>
    <x v="0"/>
    <x v="0"/>
    <x v="0"/>
    <x v="0"/>
    <x v="0"/>
    <x v="10"/>
    <n v="0"/>
    <n v="0"/>
    <n v="212.19900000000001"/>
    <n v="212.19900000000001"/>
    <n v="212.19900000000001"/>
    <n v="212.19900000000001"/>
    <n v="0"/>
    <x v="0"/>
    <n v="0"/>
    <n v="0"/>
    <n v="11"/>
    <n v="56"/>
    <n v="0"/>
    <n v="67.52"/>
    <n v="165.21"/>
    <m/>
    <n v="97.29753337033091"/>
    <n v="149.21653430157579"/>
    <n v="0"/>
    <n v="14327.67648"/>
    <n v="35057.396790000006"/>
    <n v="0"/>
    <n v="20646.439283650849"/>
    <n v="31663.599362260084"/>
  </r>
  <r>
    <s v="Regular"/>
    <x v="0"/>
    <x v="0"/>
    <x v="0"/>
    <x v="0"/>
    <x v="0"/>
    <x v="0"/>
    <x v="0"/>
    <x v="11"/>
    <n v="0"/>
    <n v="0"/>
    <n v="227.774"/>
    <n v="227.774"/>
    <n v="227.774"/>
    <n v="227.774"/>
    <n v="0"/>
    <x v="0"/>
    <n v="0"/>
    <n v="0"/>
    <n v="11"/>
    <n v="56"/>
    <n v="0"/>
    <n v="67.52"/>
    <n v="165.21"/>
    <m/>
    <n v="97.29753337033091"/>
    <n v="149.21653430157579"/>
    <n v="0"/>
    <n v="15379.30048"/>
    <n v="37630.542540000002"/>
    <n v="0"/>
    <n v="22161.848365893751"/>
    <n v="33987.646884007125"/>
  </r>
  <r>
    <s v="Regular"/>
    <x v="0"/>
    <x v="0"/>
    <x v="0"/>
    <x v="0"/>
    <x v="0"/>
    <x v="0"/>
    <x v="1"/>
    <x v="0"/>
    <n v="718"/>
    <n v="718"/>
    <n v="0"/>
    <n v="0"/>
    <n v="0"/>
    <n v="0"/>
    <n v="8"/>
    <x v="0"/>
    <n v="0"/>
    <n v="7"/>
    <n v="0"/>
    <n v="0"/>
    <n v="32.22"/>
    <n v="0"/>
    <n v="0"/>
    <n v="35.539439517455762"/>
    <m/>
    <m/>
    <n v="23133.96"/>
    <n v="0"/>
    <n v="0"/>
    <n v="25517.317573533237"/>
    <n v="0"/>
    <n v="0"/>
  </r>
  <r>
    <s v="Regular"/>
    <x v="0"/>
    <x v="0"/>
    <x v="0"/>
    <x v="0"/>
    <x v="0"/>
    <x v="0"/>
    <x v="1"/>
    <x v="1"/>
    <n v="711"/>
    <n v="711"/>
    <n v="0"/>
    <n v="0"/>
    <n v="0"/>
    <n v="0"/>
    <n v="8"/>
    <x v="0"/>
    <n v="0"/>
    <n v="7"/>
    <n v="0"/>
    <n v="0"/>
    <n v="32.22"/>
    <n v="0"/>
    <n v="0"/>
    <n v="35.539439517455762"/>
    <m/>
    <m/>
    <n v="22908.42"/>
    <n v="0"/>
    <n v="0"/>
    <n v="25268.541496911046"/>
    <n v="0"/>
    <n v="0"/>
  </r>
  <r>
    <s v="Regular"/>
    <x v="0"/>
    <x v="0"/>
    <x v="0"/>
    <x v="0"/>
    <x v="0"/>
    <x v="0"/>
    <x v="1"/>
    <x v="2"/>
    <n v="980"/>
    <n v="980"/>
    <n v="0"/>
    <n v="0"/>
    <n v="0"/>
    <n v="0"/>
    <n v="8"/>
    <x v="0"/>
    <n v="0"/>
    <n v="7"/>
    <n v="0"/>
    <n v="0"/>
    <n v="32.22"/>
    <n v="0"/>
    <n v="0"/>
    <n v="35.539439517455762"/>
    <m/>
    <m/>
    <n v="31575.599999999999"/>
    <n v="0"/>
    <n v="0"/>
    <n v="34828.650727106644"/>
    <n v="0"/>
    <n v="0"/>
  </r>
  <r>
    <s v="Regular"/>
    <x v="0"/>
    <x v="0"/>
    <x v="0"/>
    <x v="0"/>
    <x v="0"/>
    <x v="0"/>
    <x v="1"/>
    <x v="3"/>
    <n v="997"/>
    <n v="997"/>
    <n v="0"/>
    <n v="0"/>
    <n v="0"/>
    <n v="0"/>
    <n v="8"/>
    <x v="0"/>
    <n v="0"/>
    <n v="7"/>
    <n v="0"/>
    <n v="0"/>
    <n v="32.22"/>
    <n v="0"/>
    <n v="0"/>
    <n v="35.539439517455762"/>
    <m/>
    <m/>
    <n v="32123.34"/>
    <n v="0"/>
    <n v="0"/>
    <n v="35432.821198903395"/>
    <n v="0"/>
    <n v="0"/>
  </r>
  <r>
    <s v="Regular"/>
    <x v="0"/>
    <x v="0"/>
    <x v="0"/>
    <x v="0"/>
    <x v="0"/>
    <x v="0"/>
    <x v="1"/>
    <x v="4"/>
    <n v="1071"/>
    <n v="1071"/>
    <n v="0"/>
    <n v="0"/>
    <n v="0"/>
    <n v="0"/>
    <n v="8"/>
    <x v="0"/>
    <n v="0"/>
    <n v="7"/>
    <n v="0"/>
    <n v="0"/>
    <n v="32.22"/>
    <n v="0"/>
    <n v="0"/>
    <n v="35.539439517455762"/>
    <m/>
    <m/>
    <n v="34507.619999999995"/>
    <n v="0"/>
    <n v="0"/>
    <n v="38062.739723195118"/>
    <n v="0"/>
    <n v="0"/>
  </r>
  <r>
    <s v="Regular"/>
    <x v="0"/>
    <x v="0"/>
    <x v="0"/>
    <x v="0"/>
    <x v="0"/>
    <x v="0"/>
    <x v="1"/>
    <x v="5"/>
    <n v="1029"/>
    <n v="1029"/>
    <n v="0"/>
    <n v="0"/>
    <n v="0"/>
    <n v="0"/>
    <n v="8"/>
    <x v="0"/>
    <n v="0"/>
    <n v="7"/>
    <n v="0"/>
    <n v="0"/>
    <n v="32.22"/>
    <n v="0"/>
    <n v="0"/>
    <n v="35.539439517455762"/>
    <m/>
    <m/>
    <n v="33154.379999999997"/>
    <n v="0"/>
    <n v="0"/>
    <n v="36570.08326346198"/>
    <n v="0"/>
    <n v="0"/>
  </r>
  <r>
    <s v="Regular"/>
    <x v="0"/>
    <x v="0"/>
    <x v="0"/>
    <x v="0"/>
    <x v="0"/>
    <x v="0"/>
    <x v="1"/>
    <x v="6"/>
    <n v="1022"/>
    <n v="1022"/>
    <n v="0"/>
    <n v="0"/>
    <n v="0"/>
    <n v="0"/>
    <n v="8"/>
    <x v="0"/>
    <n v="0"/>
    <n v="7"/>
    <n v="0"/>
    <n v="0"/>
    <n v="32.22"/>
    <n v="0"/>
    <n v="0"/>
    <n v="35.539439517455762"/>
    <m/>
    <m/>
    <n v="32928.839999999997"/>
    <n v="0"/>
    <n v="0"/>
    <n v="36321.307186839789"/>
    <n v="0"/>
    <n v="0"/>
  </r>
  <r>
    <s v="Regular"/>
    <x v="0"/>
    <x v="0"/>
    <x v="0"/>
    <x v="0"/>
    <x v="0"/>
    <x v="0"/>
    <x v="1"/>
    <x v="7"/>
    <n v="784"/>
    <n v="784"/>
    <n v="0"/>
    <n v="0"/>
    <n v="0"/>
    <n v="0"/>
    <n v="8"/>
    <x v="0"/>
    <n v="0"/>
    <n v="7"/>
    <n v="0"/>
    <n v="0"/>
    <n v="32.22"/>
    <n v="0"/>
    <n v="0"/>
    <n v="35.539439517455762"/>
    <m/>
    <m/>
    <n v="25260.48"/>
    <n v="0"/>
    <n v="0"/>
    <n v="27862.920581685317"/>
    <n v="0"/>
    <n v="0"/>
  </r>
  <r>
    <s v="Regular"/>
    <x v="0"/>
    <x v="0"/>
    <x v="0"/>
    <x v="0"/>
    <x v="0"/>
    <x v="0"/>
    <x v="1"/>
    <x v="8"/>
    <n v="779"/>
    <n v="779"/>
    <n v="0"/>
    <n v="0"/>
    <n v="0"/>
    <n v="0"/>
    <n v="8"/>
    <x v="0"/>
    <n v="0"/>
    <n v="7"/>
    <n v="0"/>
    <n v="0"/>
    <n v="32.22"/>
    <n v="0"/>
    <n v="0"/>
    <n v="35.539439517455762"/>
    <m/>
    <m/>
    <n v="25099.379999999997"/>
    <n v="0"/>
    <n v="0"/>
    <n v="27685.223384098037"/>
    <n v="0"/>
    <n v="0"/>
  </r>
  <r>
    <s v="Regular"/>
    <x v="0"/>
    <x v="0"/>
    <x v="0"/>
    <x v="0"/>
    <x v="0"/>
    <x v="0"/>
    <x v="1"/>
    <x v="9"/>
    <n v="793"/>
    <n v="793"/>
    <n v="0"/>
    <n v="0"/>
    <n v="0"/>
    <n v="0"/>
    <n v="8"/>
    <x v="0"/>
    <n v="0"/>
    <n v="7"/>
    <n v="0"/>
    <n v="0"/>
    <n v="32.22"/>
    <n v="0"/>
    <n v="0"/>
    <n v="35.539439517455762"/>
    <m/>
    <m/>
    <n v="25550.46"/>
    <n v="0"/>
    <n v="0"/>
    <n v="28182.775537342419"/>
    <n v="0"/>
    <n v="0"/>
  </r>
  <r>
    <s v="Regular"/>
    <x v="0"/>
    <x v="0"/>
    <x v="0"/>
    <x v="0"/>
    <x v="0"/>
    <x v="0"/>
    <x v="1"/>
    <x v="10"/>
    <n v="784"/>
    <n v="784"/>
    <n v="0"/>
    <n v="0"/>
    <n v="0"/>
    <n v="0"/>
    <n v="8"/>
    <x v="0"/>
    <n v="0"/>
    <n v="7"/>
    <n v="0"/>
    <n v="0"/>
    <n v="32.22"/>
    <n v="0"/>
    <n v="0"/>
    <n v="35.539439517455762"/>
    <m/>
    <m/>
    <n v="25260.48"/>
    <n v="0"/>
    <n v="0"/>
    <n v="27862.920581685317"/>
    <n v="0"/>
    <n v="0"/>
  </r>
  <r>
    <s v="Regular"/>
    <x v="0"/>
    <x v="0"/>
    <x v="0"/>
    <x v="0"/>
    <x v="0"/>
    <x v="0"/>
    <x v="1"/>
    <x v="11"/>
    <n v="791"/>
    <n v="791"/>
    <n v="0"/>
    <n v="0"/>
    <n v="0"/>
    <n v="0"/>
    <n v="8"/>
    <x v="0"/>
    <n v="0"/>
    <n v="7"/>
    <n v="0"/>
    <n v="0"/>
    <n v="32.22"/>
    <n v="0"/>
    <n v="0"/>
    <n v="35.539439517455762"/>
    <m/>
    <m/>
    <n v="25486.02"/>
    <n v="0"/>
    <n v="0"/>
    <n v="28111.696658307508"/>
    <n v="0"/>
    <n v="0"/>
  </r>
  <r>
    <s v="Regular"/>
    <x v="0"/>
    <x v="0"/>
    <x v="0"/>
    <x v="0"/>
    <x v="0"/>
    <x v="0"/>
    <x v="2"/>
    <x v="0"/>
    <n v="0"/>
    <n v="0"/>
    <n v="3.782"/>
    <n v="3.782"/>
    <n v="3.782"/>
    <n v="3.782"/>
    <n v="0"/>
    <x v="0"/>
    <n v="0"/>
    <n v="0"/>
    <n v="13"/>
    <n v="42"/>
    <n v="0"/>
    <n v="2490.0500000000002"/>
    <n v="165.21"/>
    <m/>
    <n v="2761.3380858956325"/>
    <n v="149.21653430157579"/>
    <n v="0"/>
    <n v="9417.3690999999999"/>
    <n v="624.82422000000008"/>
    <n v="0"/>
    <n v="10443.380640857282"/>
    <n v="564.33693272855965"/>
  </r>
  <r>
    <s v="Regular"/>
    <x v="0"/>
    <x v="0"/>
    <x v="0"/>
    <x v="0"/>
    <x v="0"/>
    <x v="0"/>
    <x v="2"/>
    <x v="1"/>
    <n v="0"/>
    <n v="0"/>
    <n v="3.4670000000000001"/>
    <n v="3.4670000000000001"/>
    <n v="3.4670000000000001"/>
    <n v="3.4670000000000001"/>
    <n v="0"/>
    <x v="0"/>
    <n v="0"/>
    <n v="0"/>
    <n v="13"/>
    <n v="42"/>
    <n v="0"/>
    <n v="2490.0500000000002"/>
    <n v="165.21"/>
    <m/>
    <n v="2761.3380858956325"/>
    <n v="149.21653430157579"/>
    <n v="0"/>
    <n v="8633.0033500000009"/>
    <n v="572.78307000000007"/>
    <n v="0"/>
    <n v="9573.5591438001575"/>
    <n v="517.33372442356324"/>
  </r>
  <r>
    <s v="Regular"/>
    <x v="0"/>
    <x v="0"/>
    <x v="0"/>
    <x v="0"/>
    <x v="0"/>
    <x v="0"/>
    <x v="2"/>
    <x v="2"/>
    <n v="0"/>
    <n v="0"/>
    <n v="3.1949999999999998"/>
    <n v="3.1949999999999998"/>
    <n v="3.1949999999999998"/>
    <n v="3.1949999999999998"/>
    <n v="0"/>
    <x v="0"/>
    <n v="0"/>
    <n v="0"/>
    <n v="13"/>
    <n v="42"/>
    <n v="0"/>
    <n v="2490.0500000000002"/>
    <n v="165.21"/>
    <m/>
    <n v="2761.3380858956325"/>
    <n v="149.21653430157579"/>
    <n v="0"/>
    <n v="7955.70975"/>
    <n v="527.84595000000002"/>
    <n v="0"/>
    <n v="8822.4751844365455"/>
    <n v="476.74682709353465"/>
  </r>
  <r>
    <s v="Regular"/>
    <x v="0"/>
    <x v="0"/>
    <x v="0"/>
    <x v="0"/>
    <x v="0"/>
    <x v="0"/>
    <x v="2"/>
    <x v="3"/>
    <n v="0"/>
    <n v="0"/>
    <n v="5.4130000000000003"/>
    <n v="5.4130000000000003"/>
    <n v="5.4130000000000003"/>
    <n v="5.4130000000000003"/>
    <n v="0"/>
    <x v="0"/>
    <n v="0"/>
    <n v="0"/>
    <n v="13"/>
    <n v="42"/>
    <n v="0"/>
    <n v="2490.0500000000002"/>
    <n v="165.21"/>
    <m/>
    <n v="2761.3380858956325"/>
    <n v="149.21653430157579"/>
    <n v="0"/>
    <n v="13478.640650000001"/>
    <n v="894.28173000000004"/>
    <n v="0"/>
    <n v="14947.123058953059"/>
    <n v="807.70910017442975"/>
  </r>
  <r>
    <s v="Regular"/>
    <x v="0"/>
    <x v="0"/>
    <x v="0"/>
    <x v="0"/>
    <x v="0"/>
    <x v="0"/>
    <x v="2"/>
    <x v="4"/>
    <n v="0"/>
    <n v="0"/>
    <n v="6.468"/>
    <n v="6.468"/>
    <n v="6.468"/>
    <n v="6.468"/>
    <n v="0"/>
    <x v="0"/>
    <n v="0"/>
    <n v="0"/>
    <n v="13"/>
    <n v="42"/>
    <n v="0"/>
    <n v="2490.0500000000002"/>
    <n v="165.21"/>
    <m/>
    <n v="2761.3380858956325"/>
    <n v="149.21653430157579"/>
    <n v="0"/>
    <n v="16105.643400000001"/>
    <n v="1068.5782799999999"/>
    <n v="0"/>
    <n v="17860.334739572951"/>
    <n v="965.13254386259223"/>
  </r>
  <r>
    <s v="Regular"/>
    <x v="0"/>
    <x v="0"/>
    <x v="0"/>
    <x v="0"/>
    <x v="0"/>
    <x v="0"/>
    <x v="2"/>
    <x v="5"/>
    <n v="0"/>
    <n v="0"/>
    <n v="4.6429999999999998"/>
    <n v="4.6429999999999998"/>
    <n v="4.6429999999999998"/>
    <n v="4.6429999999999998"/>
    <n v="0"/>
    <x v="0"/>
    <n v="0"/>
    <n v="0"/>
    <n v="13"/>
    <n v="42"/>
    <n v="0"/>
    <n v="2490.0500000000002"/>
    <n v="165.21"/>
    <m/>
    <n v="2761.3380858956325"/>
    <n v="149.21653430157579"/>
    <n v="0"/>
    <n v="11561.30215"/>
    <n v="767.07002999999997"/>
    <n v="0"/>
    <n v="12820.892732813421"/>
    <n v="692.81236876221635"/>
  </r>
  <r>
    <s v="Regular"/>
    <x v="0"/>
    <x v="0"/>
    <x v="0"/>
    <x v="0"/>
    <x v="0"/>
    <x v="0"/>
    <x v="2"/>
    <x v="6"/>
    <n v="0"/>
    <n v="0"/>
    <n v="4.7569999999999997"/>
    <n v="4.7569999999999997"/>
    <n v="4.7569999999999997"/>
    <n v="4.7569999999999997"/>
    <n v="0"/>
    <x v="0"/>
    <n v="0"/>
    <n v="0"/>
    <n v="13"/>
    <n v="42"/>
    <n v="0"/>
    <n v="2490.0500000000002"/>
    <n v="165.21"/>
    <m/>
    <n v="2761.3380858956325"/>
    <n v="149.21653430157579"/>
    <n v="0"/>
    <n v="11845.16785"/>
    <n v="785.90396999999996"/>
    <n v="0"/>
    <n v="13135.685274605523"/>
    <n v="709.82305367259596"/>
  </r>
  <r>
    <s v="Regular"/>
    <x v="0"/>
    <x v="0"/>
    <x v="0"/>
    <x v="0"/>
    <x v="0"/>
    <x v="0"/>
    <x v="2"/>
    <x v="7"/>
    <n v="0"/>
    <n v="0"/>
    <n v="3.9569999999999999"/>
    <n v="3.9569999999999999"/>
    <n v="3.9569999999999999"/>
    <n v="3.9569999999999999"/>
    <n v="0"/>
    <x v="0"/>
    <n v="0"/>
    <n v="0"/>
    <n v="13"/>
    <n v="42"/>
    <n v="0"/>
    <n v="2490.0500000000002"/>
    <n v="165.21"/>
    <m/>
    <n v="2761.3380858956325"/>
    <n v="149.21653430157579"/>
    <n v="0"/>
    <n v="9853.1278500000008"/>
    <n v="653.73596999999995"/>
    <n v="0"/>
    <n v="10926.614805889018"/>
    <n v="590.44982623133535"/>
  </r>
  <r>
    <s v="Regular"/>
    <x v="0"/>
    <x v="0"/>
    <x v="0"/>
    <x v="0"/>
    <x v="0"/>
    <x v="0"/>
    <x v="2"/>
    <x v="8"/>
    <n v="0"/>
    <n v="0"/>
    <n v="4.2359999999999998"/>
    <n v="4.2359999999999998"/>
    <n v="4.2359999999999998"/>
    <n v="4.2359999999999998"/>
    <n v="0"/>
    <x v="0"/>
    <n v="0"/>
    <n v="0"/>
    <n v="13"/>
    <n v="42"/>
    <n v="0"/>
    <n v="2490.0500000000002"/>
    <n v="165.21"/>
    <m/>
    <n v="2761.3380858956325"/>
    <n v="149.21653430157579"/>
    <n v="0"/>
    <n v="10547.8518"/>
    <n v="699.82956000000001"/>
    <n v="0"/>
    <n v="11697.028131853898"/>
    <n v="632.08123930147497"/>
  </r>
  <r>
    <s v="Regular"/>
    <x v="0"/>
    <x v="0"/>
    <x v="0"/>
    <x v="0"/>
    <x v="0"/>
    <x v="0"/>
    <x v="2"/>
    <x v="9"/>
    <n v="0"/>
    <n v="0"/>
    <n v="5.4130000000000003"/>
    <n v="5.4130000000000003"/>
    <n v="5.4130000000000003"/>
    <n v="5.4130000000000003"/>
    <n v="0"/>
    <x v="0"/>
    <n v="0"/>
    <n v="0"/>
    <n v="13"/>
    <n v="42"/>
    <n v="0"/>
    <n v="2490.0500000000002"/>
    <n v="165.21"/>
    <m/>
    <n v="2761.3380858956325"/>
    <n v="149.21653430157579"/>
    <n v="0"/>
    <n v="13478.640650000001"/>
    <n v="894.28173000000004"/>
    <n v="0"/>
    <n v="14947.123058953059"/>
    <n v="807.70910017442975"/>
  </r>
  <r>
    <s v="Regular"/>
    <x v="0"/>
    <x v="0"/>
    <x v="0"/>
    <x v="0"/>
    <x v="0"/>
    <x v="0"/>
    <x v="2"/>
    <x v="10"/>
    <n v="0"/>
    <n v="0"/>
    <n v="9.2430000000000003"/>
    <n v="9.2430000000000003"/>
    <n v="9.2430000000000003"/>
    <n v="9.2430000000000003"/>
    <n v="0"/>
    <x v="0"/>
    <n v="0"/>
    <n v="0"/>
    <n v="13"/>
    <n v="42"/>
    <n v="0"/>
    <n v="2490.0500000000002"/>
    <n v="165.21"/>
    <m/>
    <n v="2761.3380858956325"/>
    <n v="149.21653430157579"/>
    <n v="0"/>
    <n v="23015.532150000003"/>
    <n v="1527.0360300000002"/>
    <n v="0"/>
    <n v="25523.04792793333"/>
    <n v="1379.208426549465"/>
  </r>
  <r>
    <s v="Regular"/>
    <x v="0"/>
    <x v="0"/>
    <x v="0"/>
    <x v="0"/>
    <x v="0"/>
    <x v="0"/>
    <x v="2"/>
    <x v="11"/>
    <n v="0"/>
    <n v="0"/>
    <n v="7.31"/>
    <n v="7.31"/>
    <n v="7.31"/>
    <n v="7.31"/>
    <n v="0"/>
    <x v="0"/>
    <n v="0"/>
    <n v="0"/>
    <n v="13"/>
    <n v="42"/>
    <n v="0"/>
    <n v="2490.0500000000002"/>
    <n v="165.21"/>
    <m/>
    <n v="2761.3380858956325"/>
    <n v="149.21653430157579"/>
    <n v="0"/>
    <n v="18202.265500000001"/>
    <n v="1207.6850999999999"/>
    <n v="0"/>
    <n v="20185.381407897072"/>
    <n v="1090.7728657445189"/>
  </r>
  <r>
    <s v="Regular"/>
    <x v="0"/>
    <x v="0"/>
    <x v="1"/>
    <x v="0"/>
    <x v="0"/>
    <x v="0"/>
    <x v="0"/>
    <x v="0"/>
    <n v="0"/>
    <n v="0"/>
    <n v="417.584"/>
    <n v="417.584"/>
    <n v="417.584"/>
    <n v="417.584"/>
    <n v="0"/>
    <x v="0"/>
    <n v="0"/>
    <n v="0"/>
    <n v="11"/>
    <n v="56"/>
    <n v="0"/>
    <n v="67.52"/>
    <n v="165.21"/>
    <m/>
    <n v="97.29753337033091"/>
    <n v="149.21653430157579"/>
    <n v="0"/>
    <n v="28195.271679999998"/>
    <n v="68989.052640000009"/>
    <n v="0"/>
    <n v="40629.893174916266"/>
    <n v="62310.437259789229"/>
  </r>
  <r>
    <s v="Regular"/>
    <x v="0"/>
    <x v="0"/>
    <x v="1"/>
    <x v="0"/>
    <x v="0"/>
    <x v="0"/>
    <x v="0"/>
    <x v="1"/>
    <n v="0"/>
    <n v="0"/>
    <n v="426.51400000000001"/>
    <n v="426.51400000000001"/>
    <n v="426.51400000000001"/>
    <n v="426.51400000000001"/>
    <n v="0"/>
    <x v="0"/>
    <n v="0"/>
    <n v="0"/>
    <n v="11"/>
    <n v="56"/>
    <n v="0"/>
    <n v="67.52"/>
    <n v="165.21"/>
    <m/>
    <n v="97.29753337033091"/>
    <n v="149.21653430157579"/>
    <n v="0"/>
    <n v="28798.225279999999"/>
    <n v="70464.377940000006"/>
    <n v="0"/>
    <n v="41498.760147913315"/>
    <n v="63642.940911102298"/>
  </r>
  <r>
    <s v="Regular"/>
    <x v="0"/>
    <x v="0"/>
    <x v="1"/>
    <x v="0"/>
    <x v="0"/>
    <x v="0"/>
    <x v="0"/>
    <x v="2"/>
    <n v="0"/>
    <n v="0"/>
    <n v="470.85"/>
    <n v="470.85"/>
    <n v="470.85"/>
    <n v="470.85"/>
    <n v="0"/>
    <x v="0"/>
    <n v="0"/>
    <n v="0"/>
    <n v="11"/>
    <n v="56"/>
    <n v="0"/>
    <n v="67.52"/>
    <n v="165.21"/>
    <m/>
    <n v="97.29753337033091"/>
    <n v="149.21653430157579"/>
    <n v="0"/>
    <n v="31791.792000000001"/>
    <n v="77789.128500000006"/>
    <n v="0"/>
    <n v="45812.54358742031"/>
    <n v="70258.60517589697"/>
  </r>
  <r>
    <s v="Regular"/>
    <x v="0"/>
    <x v="0"/>
    <x v="1"/>
    <x v="0"/>
    <x v="0"/>
    <x v="0"/>
    <x v="0"/>
    <x v="3"/>
    <n v="0"/>
    <n v="0"/>
    <n v="340.99400000000003"/>
    <n v="340.99400000000003"/>
    <n v="340.99400000000003"/>
    <n v="340.99400000000003"/>
    <n v="0"/>
    <x v="0"/>
    <n v="0"/>
    <n v="0"/>
    <n v="11"/>
    <n v="56"/>
    <n v="0"/>
    <n v="67.52"/>
    <n v="165.21"/>
    <m/>
    <n v="97.29753337033091"/>
    <n v="149.21653430157579"/>
    <n v="0"/>
    <n v="23023.91488"/>
    <n v="56335.618740000005"/>
    <n v="0"/>
    <n v="33177.875094082621"/>
    <n v="50881.942897631539"/>
  </r>
  <r>
    <s v="Regular"/>
    <x v="0"/>
    <x v="0"/>
    <x v="1"/>
    <x v="0"/>
    <x v="0"/>
    <x v="0"/>
    <x v="0"/>
    <x v="4"/>
    <n v="0"/>
    <n v="0"/>
    <n v="384.94299999999998"/>
    <n v="384.94299999999998"/>
    <n v="384.94299999999998"/>
    <n v="384.94299999999998"/>
    <n v="0"/>
    <x v="0"/>
    <n v="0"/>
    <n v="0"/>
    <n v="11"/>
    <n v="56"/>
    <n v="0"/>
    <n v="67.52"/>
    <n v="165.21"/>
    <m/>
    <n v="97.29753337033091"/>
    <n v="149.21653430157579"/>
    <n v="0"/>
    <n v="25991.351359999997"/>
    <n v="63596.43303"/>
    <n v="0"/>
    <n v="37454.004388175294"/>
    <n v="57439.860363651489"/>
  </r>
  <r>
    <s v="Regular"/>
    <x v="0"/>
    <x v="0"/>
    <x v="1"/>
    <x v="0"/>
    <x v="0"/>
    <x v="0"/>
    <x v="0"/>
    <x v="5"/>
    <n v="0"/>
    <n v="0"/>
    <n v="372.32100000000003"/>
    <n v="372.32100000000003"/>
    <n v="372.32100000000003"/>
    <n v="372.32100000000003"/>
    <n v="0"/>
    <x v="0"/>
    <n v="0"/>
    <n v="0"/>
    <n v="11"/>
    <n v="56"/>
    <n v="0"/>
    <n v="67.52"/>
    <n v="165.21"/>
    <m/>
    <n v="97.29753337033091"/>
    <n v="149.21653430157579"/>
    <n v="0"/>
    <n v="25139.11392"/>
    <n v="61511.15241000001"/>
    <n v="0"/>
    <n v="36225.914921974974"/>
    <n v="55556.449267697004"/>
  </r>
  <r>
    <s v="Regular"/>
    <x v="0"/>
    <x v="0"/>
    <x v="1"/>
    <x v="0"/>
    <x v="0"/>
    <x v="0"/>
    <x v="0"/>
    <x v="6"/>
    <n v="0"/>
    <n v="0"/>
    <n v="458.96"/>
    <n v="458.96"/>
    <n v="458.96"/>
    <n v="458.96"/>
    <n v="0"/>
    <x v="0"/>
    <n v="0"/>
    <n v="0"/>
    <n v="11"/>
    <n v="56"/>
    <n v="0"/>
    <n v="67.52"/>
    <n v="165.21"/>
    <m/>
    <n v="97.29753337033091"/>
    <n v="149.21653430157579"/>
    <n v="0"/>
    <n v="30988.979199999998"/>
    <n v="75824.781600000002"/>
    <n v="0"/>
    <n v="44655.675915647073"/>
    <n v="68484.420583051222"/>
  </r>
  <r>
    <s v="Regular"/>
    <x v="0"/>
    <x v="0"/>
    <x v="1"/>
    <x v="0"/>
    <x v="0"/>
    <x v="0"/>
    <x v="0"/>
    <x v="7"/>
    <n v="0"/>
    <n v="0"/>
    <n v="356.53100000000001"/>
    <n v="356.53100000000001"/>
    <n v="356.53100000000001"/>
    <n v="356.53100000000001"/>
    <n v="0"/>
    <x v="0"/>
    <n v="0"/>
    <n v="0"/>
    <n v="11"/>
    <n v="56"/>
    <n v="0"/>
    <n v="67.52"/>
    <n v="165.21"/>
    <m/>
    <n v="97.29753337033091"/>
    <n v="149.21653430157579"/>
    <n v="0"/>
    <n v="24072.973119999999"/>
    <n v="58902.486510000002"/>
    <n v="0"/>
    <n v="34689.58687005745"/>
    <n v="53200.320191075116"/>
  </r>
  <r>
    <s v="Regular"/>
    <x v="0"/>
    <x v="0"/>
    <x v="1"/>
    <x v="0"/>
    <x v="0"/>
    <x v="0"/>
    <x v="0"/>
    <x v="8"/>
    <n v="0"/>
    <n v="0"/>
    <n v="349.80900000000003"/>
    <n v="349.80900000000003"/>
    <n v="349.80900000000003"/>
    <n v="349.80900000000003"/>
    <n v="0"/>
    <x v="0"/>
    <n v="0"/>
    <n v="0"/>
    <n v="11"/>
    <n v="56"/>
    <n v="0"/>
    <n v="67.52"/>
    <n v="165.21"/>
    <m/>
    <n v="97.29753337033091"/>
    <n v="149.21653430157579"/>
    <n v="0"/>
    <n v="23619.10368"/>
    <n v="57791.944890000006"/>
    <n v="0"/>
    <n v="34035.55285074209"/>
    <n v="52197.286647499932"/>
  </r>
  <r>
    <s v="Regular"/>
    <x v="0"/>
    <x v="0"/>
    <x v="1"/>
    <x v="0"/>
    <x v="0"/>
    <x v="0"/>
    <x v="0"/>
    <x v="9"/>
    <n v="0"/>
    <n v="0"/>
    <n v="323.94200000000001"/>
    <n v="323.94200000000001"/>
    <n v="323.94200000000001"/>
    <n v="323.94200000000001"/>
    <n v="0"/>
    <x v="0"/>
    <n v="0"/>
    <n v="0"/>
    <n v="11"/>
    <n v="56"/>
    <n v="0"/>
    <n v="67.52"/>
    <n v="165.21"/>
    <m/>
    <n v="97.29753337033091"/>
    <n v="149.21653430157579"/>
    <n v="0"/>
    <n v="21872.563839999999"/>
    <n v="53518.457820000003"/>
    <n v="0"/>
    <n v="31518.757555051736"/>
    <n v="48337.502554721068"/>
  </r>
  <r>
    <s v="Regular"/>
    <x v="0"/>
    <x v="0"/>
    <x v="1"/>
    <x v="0"/>
    <x v="0"/>
    <x v="0"/>
    <x v="0"/>
    <x v="10"/>
    <n v="0"/>
    <n v="0"/>
    <n v="357.012"/>
    <n v="357.012"/>
    <n v="357.012"/>
    <n v="357.012"/>
    <n v="0"/>
    <x v="0"/>
    <n v="0"/>
    <n v="0"/>
    <n v="11"/>
    <n v="56"/>
    <n v="0"/>
    <n v="67.52"/>
    <n v="165.21"/>
    <m/>
    <n v="97.29753337033091"/>
    <n v="149.21653430157579"/>
    <n v="0"/>
    <n v="24105.450239999998"/>
    <n v="58981.952520000006"/>
    <n v="0"/>
    <n v="34736.38698360858"/>
    <n v="53272.093344074179"/>
  </r>
  <r>
    <s v="Regular"/>
    <x v="0"/>
    <x v="0"/>
    <x v="1"/>
    <x v="0"/>
    <x v="0"/>
    <x v="0"/>
    <x v="0"/>
    <x v="11"/>
    <n v="0"/>
    <n v="0"/>
    <n v="407.07299999999998"/>
    <n v="407.07299999999998"/>
    <n v="407.07299999999998"/>
    <n v="407.07299999999998"/>
    <n v="0"/>
    <x v="0"/>
    <n v="0"/>
    <n v="0"/>
    <n v="11"/>
    <n v="56"/>
    <n v="0"/>
    <n v="67.52"/>
    <n v="165.21"/>
    <m/>
    <n v="97.29753337033091"/>
    <n v="149.21653430157579"/>
    <n v="0"/>
    <n v="27485.568959999997"/>
    <n v="67252.530329999994"/>
    <n v="0"/>
    <n v="39607.198801660714"/>
    <n v="60742.022267745357"/>
  </r>
  <r>
    <s v="Regular"/>
    <x v="0"/>
    <x v="0"/>
    <x v="1"/>
    <x v="0"/>
    <x v="0"/>
    <x v="0"/>
    <x v="1"/>
    <x v="0"/>
    <n v="1901"/>
    <n v="1901"/>
    <n v="0"/>
    <n v="0"/>
    <n v="0"/>
    <n v="0"/>
    <n v="9"/>
    <x v="0"/>
    <n v="0"/>
    <n v="7"/>
    <n v="0"/>
    <n v="0"/>
    <n v="32.22"/>
    <n v="0"/>
    <n v="0"/>
    <n v="35.539439517455762"/>
    <m/>
    <m/>
    <n v="61250.22"/>
    <n v="0"/>
    <n v="0"/>
    <n v="67560.474522683406"/>
    <n v="0"/>
    <n v="0"/>
  </r>
  <r>
    <s v="Regular"/>
    <x v="0"/>
    <x v="0"/>
    <x v="1"/>
    <x v="0"/>
    <x v="0"/>
    <x v="0"/>
    <x v="1"/>
    <x v="1"/>
    <n v="1905"/>
    <n v="1905"/>
    <n v="0"/>
    <n v="0"/>
    <n v="0"/>
    <n v="0"/>
    <n v="9"/>
    <x v="0"/>
    <n v="0"/>
    <n v="7"/>
    <n v="0"/>
    <n v="0"/>
    <n v="32.22"/>
    <n v="0"/>
    <n v="0"/>
    <n v="35.539439517455762"/>
    <m/>
    <m/>
    <n v="61379.1"/>
    <n v="0"/>
    <n v="0"/>
    <n v="67702.632280753227"/>
    <n v="0"/>
    <n v="0"/>
  </r>
  <r>
    <s v="Regular"/>
    <x v="0"/>
    <x v="0"/>
    <x v="1"/>
    <x v="0"/>
    <x v="0"/>
    <x v="0"/>
    <x v="1"/>
    <x v="2"/>
    <n v="1896"/>
    <n v="1896"/>
    <n v="0"/>
    <n v="0"/>
    <n v="0"/>
    <n v="0"/>
    <n v="9"/>
    <x v="0"/>
    <n v="0"/>
    <n v="7"/>
    <n v="0"/>
    <n v="0"/>
    <n v="32.22"/>
    <n v="0"/>
    <n v="0"/>
    <n v="35.539439517455762"/>
    <m/>
    <m/>
    <n v="61089.119999999995"/>
    <n v="0"/>
    <n v="0"/>
    <n v="67382.777325096118"/>
    <n v="0"/>
    <n v="0"/>
  </r>
  <r>
    <s v="Regular"/>
    <x v="0"/>
    <x v="0"/>
    <x v="1"/>
    <x v="0"/>
    <x v="0"/>
    <x v="0"/>
    <x v="1"/>
    <x v="3"/>
    <n v="1907"/>
    <n v="1907"/>
    <n v="0"/>
    <n v="0"/>
    <n v="0"/>
    <n v="0"/>
    <n v="9"/>
    <x v="0"/>
    <n v="0"/>
    <n v="7"/>
    <n v="0"/>
    <n v="0"/>
    <n v="32.22"/>
    <n v="0"/>
    <n v="0"/>
    <n v="35.539439517455762"/>
    <m/>
    <m/>
    <n v="61443.54"/>
    <n v="0"/>
    <n v="0"/>
    <n v="67773.71115978813"/>
    <n v="0"/>
    <n v="0"/>
  </r>
  <r>
    <s v="Regular"/>
    <x v="0"/>
    <x v="0"/>
    <x v="1"/>
    <x v="0"/>
    <x v="0"/>
    <x v="0"/>
    <x v="1"/>
    <x v="4"/>
    <n v="1895"/>
    <n v="1895"/>
    <n v="0"/>
    <n v="0"/>
    <n v="0"/>
    <n v="0"/>
    <n v="9"/>
    <x v="0"/>
    <n v="0"/>
    <n v="7"/>
    <n v="0"/>
    <n v="0"/>
    <n v="32.22"/>
    <n v="0"/>
    <n v="0"/>
    <n v="35.539439517455762"/>
    <m/>
    <m/>
    <n v="61056.9"/>
    <n v="0"/>
    <n v="0"/>
    <n v="67347.237885578666"/>
    <n v="0"/>
    <n v="0"/>
  </r>
  <r>
    <s v="Regular"/>
    <x v="0"/>
    <x v="0"/>
    <x v="1"/>
    <x v="0"/>
    <x v="0"/>
    <x v="0"/>
    <x v="1"/>
    <x v="5"/>
    <n v="1908"/>
    <n v="1908"/>
    <n v="0"/>
    <n v="0"/>
    <n v="0"/>
    <n v="0"/>
    <n v="9"/>
    <x v="0"/>
    <n v="0"/>
    <n v="7"/>
    <n v="0"/>
    <n v="0"/>
    <n v="32.22"/>
    <n v="0"/>
    <n v="0"/>
    <n v="35.539439517455762"/>
    <m/>
    <m/>
    <n v="61475.759999999995"/>
    <n v="0"/>
    <n v="0"/>
    <n v="67809.250599305597"/>
    <n v="0"/>
    <n v="0"/>
  </r>
  <r>
    <s v="Regular"/>
    <x v="0"/>
    <x v="0"/>
    <x v="1"/>
    <x v="0"/>
    <x v="0"/>
    <x v="0"/>
    <x v="1"/>
    <x v="6"/>
    <n v="1897"/>
    <n v="1897"/>
    <n v="0"/>
    <n v="0"/>
    <n v="0"/>
    <n v="0"/>
    <n v="9"/>
    <x v="0"/>
    <n v="0"/>
    <n v="7"/>
    <n v="0"/>
    <n v="0"/>
    <n v="32.22"/>
    <n v="0"/>
    <n v="0"/>
    <n v="35.539439517455762"/>
    <m/>
    <m/>
    <n v="61121.34"/>
    <n v="0"/>
    <n v="0"/>
    <n v="67418.316764613584"/>
    <n v="0"/>
    <n v="0"/>
  </r>
  <r>
    <s v="Regular"/>
    <x v="0"/>
    <x v="0"/>
    <x v="1"/>
    <x v="0"/>
    <x v="0"/>
    <x v="0"/>
    <x v="1"/>
    <x v="7"/>
    <n v="1821"/>
    <n v="1821"/>
    <n v="0"/>
    <n v="0"/>
    <n v="0"/>
    <n v="0"/>
    <n v="8"/>
    <x v="0"/>
    <n v="0"/>
    <n v="7"/>
    <n v="0"/>
    <n v="0"/>
    <n v="32.22"/>
    <n v="0"/>
    <n v="0"/>
    <n v="35.539439517455762"/>
    <m/>
    <m/>
    <n v="58672.619999999995"/>
    <n v="0"/>
    <n v="0"/>
    <n v="64717.319361286944"/>
    <n v="0"/>
    <n v="0"/>
  </r>
  <r>
    <s v="Regular"/>
    <x v="0"/>
    <x v="0"/>
    <x v="1"/>
    <x v="0"/>
    <x v="0"/>
    <x v="0"/>
    <x v="1"/>
    <x v="8"/>
    <n v="1800"/>
    <n v="1800"/>
    <n v="0"/>
    <n v="0"/>
    <n v="0"/>
    <n v="0"/>
    <n v="8"/>
    <x v="0"/>
    <n v="0"/>
    <n v="7"/>
    <n v="0"/>
    <n v="0"/>
    <n v="32.22"/>
    <n v="0"/>
    <n v="0"/>
    <n v="35.539439517455762"/>
    <m/>
    <m/>
    <n v="57996"/>
    <n v="0"/>
    <n v="0"/>
    <n v="63970.991131420371"/>
    <n v="0"/>
    <n v="0"/>
  </r>
  <r>
    <s v="Regular"/>
    <x v="0"/>
    <x v="0"/>
    <x v="1"/>
    <x v="0"/>
    <x v="0"/>
    <x v="0"/>
    <x v="1"/>
    <x v="9"/>
    <n v="1791"/>
    <n v="1791"/>
    <n v="0"/>
    <n v="0"/>
    <n v="0"/>
    <n v="0"/>
    <n v="8"/>
    <x v="0"/>
    <n v="0"/>
    <n v="7"/>
    <n v="0"/>
    <n v="0"/>
    <n v="32.22"/>
    <n v="0"/>
    <n v="0"/>
    <n v="35.539439517455762"/>
    <m/>
    <m/>
    <n v="57706.02"/>
    <n v="0"/>
    <n v="0"/>
    <n v="63651.136175763269"/>
    <n v="0"/>
    <n v="0"/>
  </r>
  <r>
    <s v="Regular"/>
    <x v="0"/>
    <x v="0"/>
    <x v="1"/>
    <x v="0"/>
    <x v="0"/>
    <x v="0"/>
    <x v="1"/>
    <x v="10"/>
    <n v="1823"/>
    <n v="1823"/>
    <n v="0"/>
    <n v="0"/>
    <n v="0"/>
    <n v="0"/>
    <n v="8"/>
    <x v="0"/>
    <n v="0"/>
    <n v="7"/>
    <n v="0"/>
    <n v="0"/>
    <n v="32.22"/>
    <n v="0"/>
    <n v="0"/>
    <n v="35.539439517455762"/>
    <m/>
    <m/>
    <n v="58737.06"/>
    <n v="0"/>
    <n v="0"/>
    <n v="64788.398240321854"/>
    <n v="0"/>
    <n v="0"/>
  </r>
  <r>
    <s v="Regular"/>
    <x v="0"/>
    <x v="0"/>
    <x v="1"/>
    <x v="0"/>
    <x v="0"/>
    <x v="0"/>
    <x v="1"/>
    <x v="11"/>
    <n v="1826"/>
    <n v="1826"/>
    <n v="0"/>
    <n v="0"/>
    <n v="0"/>
    <n v="0"/>
    <n v="8"/>
    <x v="0"/>
    <n v="0"/>
    <n v="7"/>
    <n v="0"/>
    <n v="0"/>
    <n v="32.22"/>
    <n v="0"/>
    <n v="0"/>
    <n v="35.539439517455762"/>
    <m/>
    <m/>
    <n v="58833.72"/>
    <n v="0"/>
    <n v="0"/>
    <n v="64895.016558874224"/>
    <n v="0"/>
    <n v="0"/>
  </r>
  <r>
    <s v="Regular"/>
    <x v="0"/>
    <x v="0"/>
    <x v="1"/>
    <x v="0"/>
    <x v="0"/>
    <x v="0"/>
    <x v="2"/>
    <x v="0"/>
    <n v="0"/>
    <n v="0"/>
    <n v="13.513"/>
    <n v="13.513"/>
    <n v="13.513"/>
    <n v="13.513"/>
    <n v="0"/>
    <x v="0"/>
    <n v="0"/>
    <n v="0"/>
    <n v="13"/>
    <n v="42"/>
    <n v="0"/>
    <n v="2490.0500000000002"/>
    <n v="165.21"/>
    <m/>
    <n v="2761.3380858956325"/>
    <n v="149.21653430157579"/>
    <n v="0"/>
    <n v="33648.04565"/>
    <n v="2232.4827300000002"/>
    <n v="0"/>
    <n v="37313.961554707683"/>
    <n v="2016.3630280171938"/>
  </r>
  <r>
    <s v="Regular"/>
    <x v="0"/>
    <x v="0"/>
    <x v="1"/>
    <x v="0"/>
    <x v="0"/>
    <x v="0"/>
    <x v="2"/>
    <x v="1"/>
    <n v="0"/>
    <n v="0"/>
    <n v="13.305"/>
    <n v="13.305"/>
    <n v="13.305"/>
    <n v="13.305"/>
    <n v="0"/>
    <x v="0"/>
    <n v="0"/>
    <n v="0"/>
    <n v="13"/>
    <n v="42"/>
    <n v="0"/>
    <n v="2490.0500000000002"/>
    <n v="165.21"/>
    <m/>
    <n v="2761.3380858956325"/>
    <n v="149.21653430157579"/>
    <n v="0"/>
    <n v="33130.115250000003"/>
    <n v="2198.1190500000002"/>
    <n v="0"/>
    <n v="36739.603232841393"/>
    <n v="1985.3259888824659"/>
  </r>
  <r>
    <s v="Regular"/>
    <x v="0"/>
    <x v="0"/>
    <x v="1"/>
    <x v="0"/>
    <x v="0"/>
    <x v="0"/>
    <x v="2"/>
    <x v="2"/>
    <n v="0"/>
    <n v="0"/>
    <n v="15.304"/>
    <n v="15.304"/>
    <n v="15.304"/>
    <n v="15.304"/>
    <n v="0"/>
    <x v="0"/>
    <n v="0"/>
    <n v="0"/>
    <n v="13"/>
    <n v="42"/>
    <n v="0"/>
    <n v="2490.0500000000002"/>
    <n v="165.21"/>
    <m/>
    <n v="2761.3380858956325"/>
    <n v="149.21653430157579"/>
    <n v="0"/>
    <n v="38107.725200000001"/>
    <n v="2528.3738400000002"/>
    <n v="0"/>
    <n v="42259.518066546763"/>
    <n v="2283.6098409513161"/>
  </r>
  <r>
    <s v="Regular"/>
    <x v="0"/>
    <x v="0"/>
    <x v="1"/>
    <x v="0"/>
    <x v="0"/>
    <x v="0"/>
    <x v="2"/>
    <x v="3"/>
    <n v="0"/>
    <n v="0"/>
    <n v="13.315"/>
    <n v="13.315"/>
    <n v="13.315"/>
    <n v="13.315"/>
    <n v="0"/>
    <x v="0"/>
    <n v="0"/>
    <n v="0"/>
    <n v="13"/>
    <n v="42"/>
    <n v="0"/>
    <n v="2490.0500000000002"/>
    <n v="165.21"/>
    <m/>
    <n v="2761.3380858956325"/>
    <n v="149.21653430157579"/>
    <n v="0"/>
    <n v="33155.015749999999"/>
    <n v="2199.77115"/>
    <n v="0"/>
    <n v="36767.216613700344"/>
    <n v="1986.8181542254815"/>
  </r>
  <r>
    <s v="Regular"/>
    <x v="0"/>
    <x v="0"/>
    <x v="1"/>
    <x v="0"/>
    <x v="0"/>
    <x v="0"/>
    <x v="2"/>
    <x v="4"/>
    <n v="0"/>
    <n v="0"/>
    <n v="13.705"/>
    <n v="13.705"/>
    <n v="13.705"/>
    <n v="13.705"/>
    <n v="0"/>
    <x v="0"/>
    <n v="0"/>
    <n v="0"/>
    <n v="13"/>
    <n v="42"/>
    <n v="0"/>
    <n v="2490.0500000000002"/>
    <n v="165.21"/>
    <m/>
    <n v="2761.3380858956325"/>
    <n v="149.21653430157579"/>
    <n v="0"/>
    <n v="34126.135249999999"/>
    <n v="2264.2030500000001"/>
    <n v="0"/>
    <n v="37844.138467199642"/>
    <n v="2045.0126026030962"/>
  </r>
  <r>
    <s v="Regular"/>
    <x v="0"/>
    <x v="0"/>
    <x v="1"/>
    <x v="0"/>
    <x v="0"/>
    <x v="0"/>
    <x v="2"/>
    <x v="5"/>
    <n v="0"/>
    <n v="0"/>
    <n v="15.427"/>
    <n v="15.427"/>
    <n v="15.427"/>
    <n v="15.427"/>
    <n v="0"/>
    <x v="0"/>
    <n v="0"/>
    <n v="0"/>
    <n v="13"/>
    <n v="42"/>
    <n v="0"/>
    <n v="2490.0500000000002"/>
    <n v="165.21"/>
    <m/>
    <n v="2761.3380858956325"/>
    <n v="149.21653430157579"/>
    <n v="0"/>
    <n v="38414.001349999999"/>
    <n v="2548.6946699999999"/>
    <n v="0"/>
    <n v="42599.162651111925"/>
    <n v="2301.9634746704096"/>
  </r>
  <r>
    <s v="Regular"/>
    <x v="0"/>
    <x v="0"/>
    <x v="1"/>
    <x v="0"/>
    <x v="0"/>
    <x v="0"/>
    <x v="2"/>
    <x v="6"/>
    <n v="0"/>
    <n v="0"/>
    <n v="14.944000000000001"/>
    <n v="14.944000000000001"/>
    <n v="14.944000000000001"/>
    <n v="14.944000000000001"/>
    <n v="0"/>
    <x v="0"/>
    <n v="0"/>
    <n v="0"/>
    <n v="13"/>
    <n v="42"/>
    <n v="0"/>
    <n v="2490.0500000000002"/>
    <n v="165.21"/>
    <m/>
    <n v="2761.3380858956325"/>
    <n v="149.21653430157579"/>
    <n v="0"/>
    <n v="37211.307200000003"/>
    <n v="2468.8982400000004"/>
    <n v="0"/>
    <n v="41265.436355624333"/>
    <n v="2229.8918886027486"/>
  </r>
  <r>
    <s v="Regular"/>
    <x v="0"/>
    <x v="0"/>
    <x v="1"/>
    <x v="0"/>
    <x v="0"/>
    <x v="0"/>
    <x v="2"/>
    <x v="7"/>
    <n v="0"/>
    <n v="0"/>
    <n v="12.222"/>
    <n v="12.222"/>
    <n v="12.222"/>
    <n v="12.222"/>
    <n v="0"/>
    <x v="0"/>
    <n v="0"/>
    <n v="0"/>
    <n v="13"/>
    <n v="42"/>
    <n v="0"/>
    <n v="2490.0500000000002"/>
    <n v="165.21"/>
    <m/>
    <n v="2761.3380858956325"/>
    <n v="149.21653430157579"/>
    <n v="0"/>
    <n v="30433.391100000001"/>
    <n v="2019.1966199999999"/>
    <n v="0"/>
    <n v="33749.074085816421"/>
    <n v="1823.7244822338594"/>
  </r>
  <r>
    <s v="Regular"/>
    <x v="0"/>
    <x v="0"/>
    <x v="1"/>
    <x v="0"/>
    <x v="0"/>
    <x v="0"/>
    <x v="2"/>
    <x v="8"/>
    <n v="0"/>
    <n v="0"/>
    <n v="11.316000000000001"/>
    <n v="11.316000000000001"/>
    <n v="11.316000000000001"/>
    <n v="11.316000000000001"/>
    <n v="0"/>
    <x v="0"/>
    <n v="0"/>
    <n v="0"/>
    <n v="13"/>
    <n v="42"/>
    <n v="0"/>
    <n v="2490.0500000000002"/>
    <n v="165.21"/>
    <m/>
    <n v="2761.3380858956325"/>
    <n v="149.21653430157579"/>
    <n v="0"/>
    <n v="28177.405800000004"/>
    <n v="1869.5163600000003"/>
    <n v="0"/>
    <n v="31247.301779994981"/>
    <n v="1688.5343021566318"/>
  </r>
  <r>
    <s v="Regular"/>
    <x v="0"/>
    <x v="0"/>
    <x v="1"/>
    <x v="0"/>
    <x v="0"/>
    <x v="0"/>
    <x v="2"/>
    <x v="9"/>
    <n v="0"/>
    <n v="0"/>
    <n v="10.59"/>
    <n v="10.59"/>
    <n v="10.59"/>
    <n v="10.59"/>
    <n v="0"/>
    <x v="0"/>
    <n v="0"/>
    <n v="0"/>
    <n v="13"/>
    <n v="42"/>
    <n v="0"/>
    <n v="2490.0500000000002"/>
    <n v="165.21"/>
    <m/>
    <n v="2761.3380858956325"/>
    <n v="149.21653430157579"/>
    <n v="0"/>
    <n v="26369.629500000003"/>
    <n v="1749.5739000000001"/>
    <n v="0"/>
    <n v="29242.570329634749"/>
    <n v="1580.2030982536876"/>
  </r>
  <r>
    <s v="Regular"/>
    <x v="0"/>
    <x v="0"/>
    <x v="1"/>
    <x v="0"/>
    <x v="0"/>
    <x v="0"/>
    <x v="2"/>
    <x v="10"/>
    <n v="0"/>
    <n v="0"/>
    <n v="12.12"/>
    <n v="12.12"/>
    <n v="12.12"/>
    <n v="12.12"/>
    <n v="0"/>
    <x v="0"/>
    <n v="0"/>
    <n v="0"/>
    <n v="13"/>
    <n v="42"/>
    <n v="0"/>
    <n v="2490.0500000000002"/>
    <n v="165.21"/>
    <m/>
    <n v="2761.3380858956325"/>
    <n v="149.21653430157579"/>
    <n v="0"/>
    <n v="30179.405999999999"/>
    <n v="2002.3452"/>
    <n v="0"/>
    <n v="33467.417601055065"/>
    <n v="1808.5043957350986"/>
  </r>
  <r>
    <s v="Regular"/>
    <x v="0"/>
    <x v="0"/>
    <x v="1"/>
    <x v="0"/>
    <x v="0"/>
    <x v="0"/>
    <x v="2"/>
    <x v="11"/>
    <n v="0"/>
    <n v="0"/>
    <n v="12.395"/>
    <n v="12.395"/>
    <n v="12.395"/>
    <n v="12.395"/>
    <n v="0"/>
    <x v="0"/>
    <n v="0"/>
    <n v="0"/>
    <n v="13"/>
    <n v="42"/>
    <n v="0"/>
    <n v="2490.0500000000002"/>
    <n v="165.21"/>
    <m/>
    <n v="2761.3380858956325"/>
    <n v="149.21653430157579"/>
    <n v="0"/>
    <n v="30864.169750000001"/>
    <n v="2047.7779499999999"/>
    <n v="0"/>
    <n v="34226.785574676367"/>
    <n v="1849.538942668032"/>
  </r>
  <r>
    <s v="Regular"/>
    <x v="0"/>
    <x v="0"/>
    <x v="2"/>
    <x v="1"/>
    <x v="0"/>
    <x v="0"/>
    <x v="0"/>
    <x v="0"/>
    <n v="0"/>
    <n v="0"/>
    <n v="8.5280000000000005"/>
    <n v="8.0163200000000003"/>
    <n v="8.5280000000000005"/>
    <n v="8.0163200000000003"/>
    <n v="0"/>
    <x v="0"/>
    <n v="0"/>
    <n v="0"/>
    <n v="11"/>
    <n v="56"/>
    <n v="0"/>
    <n v="67.52"/>
    <n v="165.21"/>
    <m/>
    <n v="97.29753337033091"/>
    <n v="149.21653430157579"/>
    <n v="0"/>
    <n v="541.26192639999999"/>
    <n v="1324.3762272000001"/>
    <n v="0"/>
    <n v="779.96816270725117"/>
    <n v="1196.167488252408"/>
  </r>
  <r>
    <s v="Regular"/>
    <x v="0"/>
    <x v="0"/>
    <x v="2"/>
    <x v="1"/>
    <x v="0"/>
    <x v="0"/>
    <x v="0"/>
    <x v="1"/>
    <n v="0"/>
    <n v="0"/>
    <n v="9.7170000000000005"/>
    <n v="9.1339799999999993"/>
    <n v="9.7170000000000005"/>
    <n v="9.1339799999999993"/>
    <n v="0"/>
    <x v="0"/>
    <n v="0"/>
    <n v="0"/>
    <n v="11"/>
    <n v="56"/>
    <n v="0"/>
    <n v="67.52"/>
    <n v="165.21"/>
    <m/>
    <n v="97.29753337033091"/>
    <n v="149.21653430157579"/>
    <n v="0"/>
    <n v="616.72632959999987"/>
    <n v="1509.0248357999999"/>
    <n v="0"/>
    <n v="888.71372385393511"/>
    <n v="1362.9408399799072"/>
  </r>
  <r>
    <s v="Regular"/>
    <x v="0"/>
    <x v="0"/>
    <x v="2"/>
    <x v="1"/>
    <x v="0"/>
    <x v="0"/>
    <x v="0"/>
    <x v="2"/>
    <n v="0"/>
    <n v="0"/>
    <n v="10.782999999999999"/>
    <n v="10.136019999999998"/>
    <n v="10.782999999999999"/>
    <n v="10.136019999999998"/>
    <n v="0"/>
    <x v="0"/>
    <n v="0"/>
    <n v="0"/>
    <n v="11"/>
    <n v="56"/>
    <n v="0"/>
    <n v="67.52"/>
    <n v="165.21"/>
    <m/>
    <n v="97.29753337033091"/>
    <n v="149.21653430157579"/>
    <n v="0"/>
    <n v="684.38407039999981"/>
    <n v="1674.5718641999999"/>
    <n v="0"/>
    <n v="986.20974419234142"/>
    <n v="1512.4617760114579"/>
  </r>
  <r>
    <s v="Regular"/>
    <x v="0"/>
    <x v="0"/>
    <x v="2"/>
    <x v="1"/>
    <x v="0"/>
    <x v="0"/>
    <x v="0"/>
    <x v="3"/>
    <n v="0"/>
    <n v="0"/>
    <n v="9.3480000000000008"/>
    <n v="8.7871199999999998"/>
    <n v="9.3480000000000008"/>
    <n v="8.7871199999999998"/>
    <n v="0"/>
    <x v="0"/>
    <n v="0"/>
    <n v="0"/>
    <n v="11"/>
    <n v="56"/>
    <n v="0"/>
    <n v="67.52"/>
    <n v="165.21"/>
    <m/>
    <n v="97.29753337033091"/>
    <n v="149.21653430157579"/>
    <n v="0"/>
    <n v="593.30634239999995"/>
    <n v="1451.7200952000001"/>
    <n v="0"/>
    <n v="854.96510142910211"/>
    <n v="1311.1835928920627"/>
  </r>
  <r>
    <s v="Regular"/>
    <x v="0"/>
    <x v="0"/>
    <x v="2"/>
    <x v="1"/>
    <x v="0"/>
    <x v="0"/>
    <x v="0"/>
    <x v="4"/>
    <n v="0"/>
    <n v="0"/>
    <n v="9.9629999999999992"/>
    <n v="9.365219999999999"/>
    <n v="9.9629999999999992"/>
    <n v="9.365219999999999"/>
    <n v="0"/>
    <x v="0"/>
    <n v="0"/>
    <n v="0"/>
    <n v="11"/>
    <n v="56"/>
    <n v="0"/>
    <n v="67.52"/>
    <n v="165.21"/>
    <m/>
    <n v="97.29753337033091"/>
    <n v="149.21653430157579"/>
    <n v="0"/>
    <n v="632.33965439999986"/>
    <n v="1547.2279962"/>
    <n v="0"/>
    <n v="911.21280547049037"/>
    <n v="1397.4456713718034"/>
  </r>
  <r>
    <s v="Regular"/>
    <x v="0"/>
    <x v="0"/>
    <x v="2"/>
    <x v="1"/>
    <x v="0"/>
    <x v="0"/>
    <x v="0"/>
    <x v="5"/>
    <n v="0"/>
    <n v="0"/>
    <n v="9.2249999999999996"/>
    <n v="8.6715"/>
    <n v="9.2249999999999996"/>
    <n v="8.6715"/>
    <n v="0"/>
    <x v="0"/>
    <n v="0"/>
    <n v="0"/>
    <n v="11"/>
    <n v="56"/>
    <n v="0"/>
    <n v="67.52"/>
    <n v="165.21"/>
    <m/>
    <n v="97.29753337033091"/>
    <n v="149.21653430157579"/>
    <n v="0"/>
    <n v="585.49968000000001"/>
    <n v="1432.6185150000001"/>
    <n v="0"/>
    <n v="843.71556062082448"/>
    <n v="1293.9311771961145"/>
  </r>
  <r>
    <s v="Regular"/>
    <x v="0"/>
    <x v="0"/>
    <x v="2"/>
    <x v="1"/>
    <x v="0"/>
    <x v="0"/>
    <x v="0"/>
    <x v="6"/>
    <n v="0"/>
    <n v="0"/>
    <n v="9.3889999999999993"/>
    <n v="8.8256599999999992"/>
    <n v="9.3889999999999993"/>
    <n v="8.8256599999999992"/>
    <n v="0"/>
    <x v="0"/>
    <n v="0"/>
    <n v="0"/>
    <n v="11"/>
    <n v="56"/>
    <n v="0"/>
    <n v="67.52"/>
    <n v="165.21"/>
    <m/>
    <n v="97.29753337033091"/>
    <n v="149.21653430157579"/>
    <n v="0"/>
    <n v="595.90856319999989"/>
    <n v="1458.0872886"/>
    <n v="0"/>
    <n v="858.71494836519457"/>
    <n v="1316.9343981240452"/>
  </r>
  <r>
    <s v="Regular"/>
    <x v="0"/>
    <x v="0"/>
    <x v="2"/>
    <x v="1"/>
    <x v="0"/>
    <x v="0"/>
    <x v="0"/>
    <x v="7"/>
    <n v="0"/>
    <n v="0"/>
    <n v="8.4049999999999994"/>
    <n v="7.9006999999999996"/>
    <n v="8.4049999999999994"/>
    <n v="7.9006999999999996"/>
    <n v="0"/>
    <x v="0"/>
    <n v="0"/>
    <n v="0"/>
    <n v="11"/>
    <n v="56"/>
    <n v="0"/>
    <n v="67.52"/>
    <n v="165.21"/>
    <m/>
    <n v="97.29753337033091"/>
    <n v="149.21653430157579"/>
    <n v="0"/>
    <n v="533.45526399999994"/>
    <n v="1305.274647"/>
    <n v="0"/>
    <n v="768.71862189897342"/>
    <n v="1178.9150725564598"/>
  </r>
  <r>
    <s v="Regular"/>
    <x v="0"/>
    <x v="0"/>
    <x v="2"/>
    <x v="1"/>
    <x v="0"/>
    <x v="0"/>
    <x v="0"/>
    <x v="8"/>
    <n v="0"/>
    <n v="0"/>
    <n v="8.0359999999999996"/>
    <n v="7.5538400000000001"/>
    <n v="8.0359999999999996"/>
    <n v="7.5538400000000001"/>
    <n v="0"/>
    <x v="0"/>
    <n v="0"/>
    <n v="0"/>
    <n v="11"/>
    <n v="56"/>
    <n v="0"/>
    <n v="67.52"/>
    <n v="165.21"/>
    <m/>
    <n v="97.29753337033091"/>
    <n v="149.21653430157579"/>
    <n v="0"/>
    <n v="510.03527679999996"/>
    <n v="1247.9699064000001"/>
    <n v="0"/>
    <n v="734.96999947414042"/>
    <n v="1127.1578254686153"/>
  </r>
  <r>
    <s v="Regular"/>
    <x v="0"/>
    <x v="0"/>
    <x v="2"/>
    <x v="1"/>
    <x v="0"/>
    <x v="0"/>
    <x v="0"/>
    <x v="9"/>
    <n v="0"/>
    <n v="0"/>
    <n v="9.3480000000000008"/>
    <n v="8.7871199999999998"/>
    <n v="9.3480000000000008"/>
    <n v="8.7871199999999998"/>
    <n v="0"/>
    <x v="0"/>
    <n v="0"/>
    <n v="0"/>
    <n v="11"/>
    <n v="56"/>
    <n v="0"/>
    <n v="67.52"/>
    <n v="165.21"/>
    <m/>
    <n v="97.29753337033091"/>
    <n v="149.21653430157579"/>
    <n v="0"/>
    <n v="593.30634239999995"/>
    <n v="1451.7200952000001"/>
    <n v="0"/>
    <n v="854.96510142910211"/>
    <n v="1311.1835928920627"/>
  </r>
  <r>
    <s v="Regular"/>
    <x v="0"/>
    <x v="0"/>
    <x v="2"/>
    <x v="1"/>
    <x v="0"/>
    <x v="0"/>
    <x v="0"/>
    <x v="10"/>
    <n v="0"/>
    <n v="0"/>
    <n v="9.02"/>
    <n v="8.4787999999999997"/>
    <n v="9.02"/>
    <n v="8.4787999999999997"/>
    <n v="0"/>
    <x v="0"/>
    <n v="0"/>
    <n v="0"/>
    <n v="11"/>
    <n v="56"/>
    <n v="0"/>
    <n v="67.52"/>
    <n v="165.21"/>
    <m/>
    <n v="97.29753337033091"/>
    <n v="149.21653430157579"/>
    <n v="0"/>
    <n v="572.48857599999997"/>
    <n v="1400.7825479999999"/>
    <n v="0"/>
    <n v="824.96632594036168"/>
    <n v="1265.1771510362007"/>
  </r>
  <r>
    <s v="Regular"/>
    <x v="0"/>
    <x v="0"/>
    <x v="2"/>
    <x v="1"/>
    <x v="0"/>
    <x v="0"/>
    <x v="0"/>
    <x v="11"/>
    <n v="0"/>
    <n v="0"/>
    <n v="8.8559999999999999"/>
    <n v="8.3246400000000005"/>
    <n v="8.8559999999999999"/>
    <n v="8.3246400000000005"/>
    <n v="0"/>
    <x v="0"/>
    <n v="0"/>
    <n v="0"/>
    <n v="11"/>
    <n v="56"/>
    <n v="0"/>
    <n v="67.52"/>
    <n v="165.21"/>
    <m/>
    <n v="97.29753337033091"/>
    <n v="149.21653430157579"/>
    <n v="0"/>
    <n v="562.07969279999998"/>
    <n v="1375.3137744000001"/>
    <n v="0"/>
    <n v="809.96693819599159"/>
    <n v="1242.17393010827"/>
  </r>
  <r>
    <s v="Regular"/>
    <x v="0"/>
    <x v="0"/>
    <x v="2"/>
    <x v="1"/>
    <x v="0"/>
    <x v="0"/>
    <x v="1"/>
    <x v="0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1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2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3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4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5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6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7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8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9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10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1"/>
    <x v="11"/>
    <n v="55"/>
    <n v="46.75"/>
    <n v="0"/>
    <n v="0"/>
    <n v="0"/>
    <n v="0"/>
    <n v="1"/>
    <x v="0"/>
    <n v="0"/>
    <n v="7"/>
    <n v="0"/>
    <n v="0"/>
    <n v="32.22"/>
    <n v="0"/>
    <n v="0"/>
    <n v="35.539439517455762"/>
    <m/>
    <m/>
    <n v="1506.2849999999999"/>
    <n v="0"/>
    <n v="0"/>
    <n v="1661.4687974410569"/>
    <n v="0"/>
    <n v="0"/>
  </r>
  <r>
    <s v="Regular"/>
    <x v="0"/>
    <x v="0"/>
    <x v="2"/>
    <x v="1"/>
    <x v="0"/>
    <x v="0"/>
    <x v="2"/>
    <x v="0"/>
    <n v="0"/>
    <n v="0"/>
    <n v="0.94299999999999995"/>
    <n v="0.88641999999999987"/>
    <n v="0.94299999999999995"/>
    <n v="0.88641999999999987"/>
    <n v="0"/>
    <x v="0"/>
    <n v="0"/>
    <n v="0"/>
    <n v="13"/>
    <n v="42"/>
    <n v="0"/>
    <n v="2490.0500000000002"/>
    <n v="165.21"/>
    <m/>
    <n v="2761.3380858956325"/>
    <n v="149.21653430157579"/>
    <n v="0"/>
    <n v="2207.2301210000001"/>
    <n v="146.44544819999999"/>
    <n v="0"/>
    <n v="2447.7053060996063"/>
    <n v="132.2685203356028"/>
  </r>
  <r>
    <s v="Regular"/>
    <x v="0"/>
    <x v="0"/>
    <x v="2"/>
    <x v="1"/>
    <x v="0"/>
    <x v="0"/>
    <x v="2"/>
    <x v="1"/>
    <n v="0"/>
    <n v="0"/>
    <n v="1.0660000000000001"/>
    <n v="1.00204"/>
    <n v="1.0660000000000001"/>
    <n v="1.00204"/>
    <n v="0"/>
    <x v="0"/>
    <n v="0"/>
    <n v="0"/>
    <n v="13"/>
    <n v="42"/>
    <n v="0"/>
    <n v="2490.0500000000002"/>
    <n v="165.21"/>
    <m/>
    <n v="2761.3380858956325"/>
    <n v="149.21653430157579"/>
    <n v="0"/>
    <n v="2495.1297020000002"/>
    <n v="165.54702840000002"/>
    <n v="0"/>
    <n v="2766.9712155908596"/>
    <n v="149.520936031551"/>
  </r>
  <r>
    <s v="Regular"/>
    <x v="0"/>
    <x v="0"/>
    <x v="2"/>
    <x v="1"/>
    <x v="0"/>
    <x v="0"/>
    <x v="2"/>
    <x v="2"/>
    <n v="0"/>
    <n v="0"/>
    <n v="1.1479999999999999"/>
    <n v="1.0791199999999999"/>
    <n v="1.1479999999999999"/>
    <n v="1.0791199999999999"/>
    <n v="0"/>
    <x v="0"/>
    <n v="0"/>
    <n v="0"/>
    <n v="13"/>
    <n v="42"/>
    <n v="0"/>
    <n v="2490.0500000000002"/>
    <n v="165.21"/>
    <m/>
    <n v="2761.3380858956325"/>
    <n v="149.21653430157579"/>
    <n v="0"/>
    <n v="2687.0627559999998"/>
    <n v="178.2814152"/>
    <n v="0"/>
    <n v="2979.8151552516947"/>
    <n v="161.02254649551645"/>
  </r>
  <r>
    <s v="Regular"/>
    <x v="0"/>
    <x v="0"/>
    <x v="2"/>
    <x v="1"/>
    <x v="0"/>
    <x v="0"/>
    <x v="2"/>
    <x v="3"/>
    <n v="0"/>
    <n v="0"/>
    <n v="1.107"/>
    <n v="1.0405799999999998"/>
    <n v="1.107"/>
    <n v="1.0405799999999998"/>
    <n v="0"/>
    <x v="0"/>
    <n v="0"/>
    <n v="0"/>
    <n v="13"/>
    <n v="42"/>
    <n v="0"/>
    <n v="2490.0500000000002"/>
    <n v="165.21"/>
    <m/>
    <n v="2761.3380858956325"/>
    <n v="149.21653430157579"/>
    <n v="0"/>
    <n v="2591.0962289999998"/>
    <n v="171.91422179999998"/>
    <n v="0"/>
    <n v="2873.3931854212769"/>
    <n v="155.27174126353373"/>
  </r>
  <r>
    <s v="Regular"/>
    <x v="0"/>
    <x v="0"/>
    <x v="2"/>
    <x v="1"/>
    <x v="0"/>
    <x v="0"/>
    <x v="2"/>
    <x v="4"/>
    <n v="0"/>
    <n v="0"/>
    <n v="1.107"/>
    <n v="1.0405799999999998"/>
    <n v="1.107"/>
    <n v="1.0405799999999998"/>
    <n v="0"/>
    <x v="0"/>
    <n v="0"/>
    <n v="0"/>
    <n v="13"/>
    <n v="42"/>
    <n v="0"/>
    <n v="2490.0500000000002"/>
    <n v="165.21"/>
    <m/>
    <n v="2761.3380858956325"/>
    <n v="149.21653430157579"/>
    <n v="0"/>
    <n v="2591.0962289999998"/>
    <n v="171.91422179999998"/>
    <n v="0"/>
    <n v="2873.3931854212769"/>
    <n v="155.27174126353373"/>
  </r>
  <r>
    <s v="Regular"/>
    <x v="0"/>
    <x v="0"/>
    <x v="2"/>
    <x v="1"/>
    <x v="0"/>
    <x v="0"/>
    <x v="2"/>
    <x v="5"/>
    <n v="0"/>
    <n v="0"/>
    <n v="1.0249999999999999"/>
    <n v="0.96350000000000002"/>
    <n v="1.0249999999999999"/>
    <n v="0.96350000000000002"/>
    <n v="0"/>
    <x v="0"/>
    <n v="0"/>
    <n v="0"/>
    <n v="13"/>
    <n v="42"/>
    <n v="0"/>
    <n v="2490.0500000000002"/>
    <n v="165.21"/>
    <m/>
    <n v="2761.3380858956325"/>
    <n v="149.21653430157579"/>
    <n v="0"/>
    <n v="2399.1631750000001"/>
    <n v="159.17983500000003"/>
    <n v="0"/>
    <n v="2660.5492457604419"/>
    <n v="143.77013079956828"/>
  </r>
  <r>
    <s v="Regular"/>
    <x v="0"/>
    <x v="0"/>
    <x v="2"/>
    <x v="1"/>
    <x v="0"/>
    <x v="0"/>
    <x v="2"/>
    <x v="6"/>
    <n v="0"/>
    <n v="0"/>
    <n v="1.107"/>
    <n v="1.0405800000000001"/>
    <n v="1.107"/>
    <n v="1.0405800000000001"/>
    <n v="0"/>
    <x v="0"/>
    <n v="0"/>
    <n v="0"/>
    <n v="13"/>
    <n v="42"/>
    <n v="0"/>
    <n v="2490.0500000000002"/>
    <n v="165.21"/>
    <m/>
    <n v="2761.3380858956325"/>
    <n v="149.21653430157579"/>
    <n v="0"/>
    <n v="2591.0962290000002"/>
    <n v="171.91422180000001"/>
    <n v="0"/>
    <n v="2873.3931854212774"/>
    <n v="155.27174126353376"/>
  </r>
  <r>
    <s v="Regular"/>
    <x v="0"/>
    <x v="0"/>
    <x v="2"/>
    <x v="1"/>
    <x v="0"/>
    <x v="0"/>
    <x v="2"/>
    <x v="7"/>
    <n v="0"/>
    <n v="0"/>
    <n v="0.94299999999999995"/>
    <n v="0.88641999999999999"/>
    <n v="0.94299999999999995"/>
    <n v="0.88641999999999999"/>
    <n v="0"/>
    <x v="0"/>
    <n v="0"/>
    <n v="0"/>
    <n v="13"/>
    <n v="42"/>
    <n v="0"/>
    <n v="2490.0500000000002"/>
    <n v="165.21"/>
    <m/>
    <n v="2761.3380858956325"/>
    <n v="149.21653430157579"/>
    <n v="0"/>
    <n v="2207.2301210000001"/>
    <n v="146.44544820000002"/>
    <n v="0"/>
    <n v="2447.7053060996063"/>
    <n v="132.2685203356028"/>
  </r>
  <r>
    <s v="Regular"/>
    <x v="0"/>
    <x v="0"/>
    <x v="2"/>
    <x v="1"/>
    <x v="0"/>
    <x v="0"/>
    <x v="2"/>
    <x v="8"/>
    <n v="0"/>
    <n v="0"/>
    <n v="0.90200000000000002"/>
    <n v="0.84787999999999997"/>
    <n v="0.90200000000000002"/>
    <n v="0.84787999999999997"/>
    <n v="0"/>
    <x v="0"/>
    <n v="0"/>
    <n v="0"/>
    <n v="13"/>
    <n v="42"/>
    <n v="0"/>
    <n v="2490.0500000000002"/>
    <n v="165.21"/>
    <m/>
    <n v="2761.3380858956325"/>
    <n v="149.21653430157579"/>
    <n v="0"/>
    <n v="2111.263594"/>
    <n v="140.0782548"/>
    <n v="0"/>
    <n v="2341.283336269189"/>
    <n v="126.51771510362008"/>
  </r>
  <r>
    <s v="Regular"/>
    <x v="0"/>
    <x v="0"/>
    <x v="2"/>
    <x v="1"/>
    <x v="0"/>
    <x v="0"/>
    <x v="2"/>
    <x v="9"/>
    <n v="0"/>
    <n v="0"/>
    <n v="0.90200000000000002"/>
    <n v="0.84787999999999997"/>
    <n v="0.90200000000000002"/>
    <n v="0.84787999999999997"/>
    <n v="0"/>
    <x v="0"/>
    <n v="0"/>
    <n v="0"/>
    <n v="13"/>
    <n v="42"/>
    <n v="0"/>
    <n v="2490.0500000000002"/>
    <n v="165.21"/>
    <m/>
    <n v="2761.3380858956325"/>
    <n v="149.21653430157579"/>
    <n v="0"/>
    <n v="2111.263594"/>
    <n v="140.0782548"/>
    <n v="0"/>
    <n v="2341.283336269189"/>
    <n v="126.51771510362008"/>
  </r>
  <r>
    <s v="Regular"/>
    <x v="0"/>
    <x v="0"/>
    <x v="2"/>
    <x v="1"/>
    <x v="0"/>
    <x v="0"/>
    <x v="2"/>
    <x v="10"/>
    <n v="0"/>
    <n v="0"/>
    <n v="1.0660000000000001"/>
    <n v="1.00204"/>
    <n v="1.0660000000000001"/>
    <n v="1.00204"/>
    <n v="0"/>
    <x v="0"/>
    <n v="0"/>
    <n v="0"/>
    <n v="13"/>
    <n v="42"/>
    <n v="0"/>
    <n v="2490.0500000000002"/>
    <n v="165.21"/>
    <m/>
    <n v="2761.3380858956325"/>
    <n v="149.21653430157579"/>
    <n v="0"/>
    <n v="2495.1297020000002"/>
    <n v="165.54702840000002"/>
    <n v="0"/>
    <n v="2766.9712155908596"/>
    <n v="149.520936031551"/>
  </r>
  <r>
    <s v="Regular"/>
    <x v="0"/>
    <x v="0"/>
    <x v="2"/>
    <x v="1"/>
    <x v="0"/>
    <x v="0"/>
    <x v="2"/>
    <x v="11"/>
    <n v="0"/>
    <n v="0"/>
    <n v="0.94299999999999995"/>
    <n v="0.88641999999999999"/>
    <n v="0.94299999999999995"/>
    <n v="0.88641999999999999"/>
    <n v="0"/>
    <x v="0"/>
    <n v="0"/>
    <n v="0"/>
    <n v="13"/>
    <n v="42"/>
    <n v="0"/>
    <n v="2490.0500000000002"/>
    <n v="165.21"/>
    <m/>
    <n v="2761.3380858956325"/>
    <n v="149.21653430157579"/>
    <n v="0"/>
    <n v="2207.2301210000001"/>
    <n v="146.44544820000002"/>
    <n v="0"/>
    <n v="2447.7053060996063"/>
    <n v="132.2685203356028"/>
  </r>
  <r>
    <s v="Regular"/>
    <x v="1"/>
    <x v="1"/>
    <x v="3"/>
    <x v="2"/>
    <x v="0"/>
    <x v="0"/>
    <x v="1"/>
    <x v="0"/>
    <n v="0"/>
    <n v="0"/>
    <n v="821.30100000000004"/>
    <n v="821.30100000000004"/>
    <n v="821.30100000000004"/>
    <n v="821.30100000000004"/>
    <n v="4410"/>
    <x v="0"/>
    <n v="0"/>
    <n v="0"/>
    <n v="20"/>
    <n v="51"/>
    <n v="0"/>
    <n v="476.06"/>
    <n v="165.21"/>
    <m/>
    <n v="548.25336013912624"/>
    <n v="149.21653430157579"/>
    <n v="0"/>
    <n v="390988.55405999999"/>
    <n v="135687.13821"/>
    <n v="0"/>
    <n v="450281.03293562453"/>
    <n v="122551.6888384185"/>
  </r>
  <r>
    <s v="Refaturamento - Regular"/>
    <x v="1"/>
    <x v="1"/>
    <x v="3"/>
    <x v="2"/>
    <x v="0"/>
    <x v="0"/>
    <x v="1"/>
    <x v="0"/>
    <n v="0"/>
    <n v="0"/>
    <n v="-1.7869999999999999"/>
    <n v="-1.7869999999999999"/>
    <n v="-1.7869999999999999"/>
    <n v="-1.7869999999999999"/>
    <n v="0"/>
    <x v="0"/>
    <n v="0"/>
    <n v="0"/>
    <n v="20"/>
    <n v="51"/>
    <n v="0"/>
    <n v="476.06"/>
    <n v="165.21"/>
    <m/>
    <n v="548.25336013912624"/>
    <n v="149.21653430157579"/>
    <n v="0"/>
    <n v="-850.71921999999995"/>
    <n v="-295.23027000000002"/>
    <n v="0"/>
    <n v="-979.72875456861857"/>
    <n v="-266.64994679691591"/>
  </r>
  <r>
    <s v="Sistema de Compensação"/>
    <x v="1"/>
    <x v="1"/>
    <x v="3"/>
    <x v="2"/>
    <x v="0"/>
    <x v="0"/>
    <x v="1"/>
    <x v="0"/>
    <n v="0"/>
    <n v="0"/>
    <n v="8.6"/>
    <n v="8.6"/>
    <n v="8.6"/>
    <n v="8.6"/>
    <n v="59"/>
    <x v="0"/>
    <n v="0"/>
    <n v="0"/>
    <n v="20"/>
    <n v="51"/>
    <n v="0"/>
    <n v="476.06"/>
    <n v="165.21"/>
    <m/>
    <n v="548.25336013912624"/>
    <n v="149.21653430157579"/>
    <n v="0"/>
    <n v="4094.116"/>
    <n v="1420.806"/>
    <n v="0"/>
    <n v="4714.9788971964854"/>
    <n v="1283.2621949935517"/>
  </r>
  <r>
    <s v="Regular"/>
    <x v="1"/>
    <x v="1"/>
    <x v="3"/>
    <x v="2"/>
    <x v="0"/>
    <x v="0"/>
    <x v="1"/>
    <x v="1"/>
    <n v="0"/>
    <n v="0"/>
    <n v="703.47500000000002"/>
    <n v="703.47500000000002"/>
    <n v="703.47500000000002"/>
    <n v="703.47500000000002"/>
    <n v="4424"/>
    <x v="0"/>
    <n v="0"/>
    <n v="0"/>
    <n v="20"/>
    <n v="51"/>
    <n v="0"/>
    <n v="476.06"/>
    <n v="165.21"/>
    <m/>
    <n v="548.25336013912624"/>
    <n v="149.21653430157579"/>
    <n v="0"/>
    <n v="334896.30849999998"/>
    <n v="116221.10475000001"/>
    <n v="0"/>
    <n v="385682.53252387187"/>
    <n v="104970.10146780104"/>
  </r>
  <r>
    <s v="Sistema de Compensação"/>
    <x v="1"/>
    <x v="1"/>
    <x v="3"/>
    <x v="2"/>
    <x v="0"/>
    <x v="0"/>
    <x v="1"/>
    <x v="1"/>
    <n v="0"/>
    <n v="0"/>
    <n v="9.7889999999999997"/>
    <n v="9.7889999999999997"/>
    <n v="9.7889999999999997"/>
    <n v="9.7889999999999997"/>
    <n v="62"/>
    <x v="0"/>
    <n v="0"/>
    <n v="0"/>
    <n v="20"/>
    <n v="51"/>
    <n v="0"/>
    <n v="476.06"/>
    <n v="165.21"/>
    <m/>
    <n v="548.25336013912624"/>
    <n v="149.21653430157579"/>
    <n v="0"/>
    <n v="4660.1513399999994"/>
    <n v="1617.2406900000001"/>
    <n v="0"/>
    <n v="5366.8521424019063"/>
    <n v="1460.6806542781253"/>
  </r>
  <r>
    <s v="Regular"/>
    <x v="1"/>
    <x v="1"/>
    <x v="3"/>
    <x v="2"/>
    <x v="0"/>
    <x v="0"/>
    <x v="1"/>
    <x v="2"/>
    <n v="0"/>
    <n v="0"/>
    <n v="801.90200000000004"/>
    <n v="801.90200000000004"/>
    <n v="801.90200000000004"/>
    <n v="801.90200000000004"/>
    <n v="4427"/>
    <x v="0"/>
    <n v="0"/>
    <n v="0"/>
    <n v="20"/>
    <n v="51"/>
    <n v="0"/>
    <n v="476.06"/>
    <n v="165.21"/>
    <m/>
    <n v="548.25336013912624"/>
    <n v="149.21653430157579"/>
    <n v="0"/>
    <n v="381753.46612"/>
    <n v="132482.22942000002"/>
    <n v="0"/>
    <n v="439645.46600228566"/>
    <n v="119657.03728950223"/>
  </r>
  <r>
    <s v="Refaturamento - Regular"/>
    <x v="1"/>
    <x v="1"/>
    <x v="3"/>
    <x v="2"/>
    <x v="0"/>
    <x v="0"/>
    <x v="1"/>
    <x v="2"/>
    <n v="0"/>
    <n v="0"/>
    <n v="-0.185"/>
    <n v="-0.185"/>
    <n v="-0.185"/>
    <n v="-0.185"/>
    <n v="0"/>
    <x v="0"/>
    <n v="0"/>
    <n v="0"/>
    <n v="20"/>
    <n v="51"/>
    <n v="0"/>
    <n v="476.06"/>
    <n v="165.21"/>
    <m/>
    <n v="548.25336013912624"/>
    <n v="149.21653430157579"/>
    <n v="0"/>
    <n v="-88.071100000000001"/>
    <n v="-30.563850000000002"/>
    <n v="0"/>
    <n v="-101.42687162573836"/>
    <n v="-27.605058845791522"/>
  </r>
  <r>
    <s v="Sistema de Compensação"/>
    <x v="1"/>
    <x v="1"/>
    <x v="3"/>
    <x v="2"/>
    <x v="0"/>
    <x v="0"/>
    <x v="1"/>
    <x v="2"/>
    <n v="0"/>
    <n v="0"/>
    <n v="10.048999999999999"/>
    <n v="10.048999999999999"/>
    <n v="10.048999999999999"/>
    <n v="10.048999999999999"/>
    <n v="67"/>
    <x v="0"/>
    <n v="0"/>
    <n v="0"/>
    <n v="20"/>
    <n v="51"/>
    <n v="0"/>
    <n v="476.06"/>
    <n v="165.21"/>
    <m/>
    <n v="548.25336013912624"/>
    <n v="149.21653430157579"/>
    <n v="0"/>
    <n v="4783.9269399999994"/>
    <n v="1660.1952899999999"/>
    <n v="0"/>
    <n v="5509.3980160380797"/>
    <n v="1499.4769531965351"/>
  </r>
  <r>
    <s v="Regular"/>
    <x v="1"/>
    <x v="1"/>
    <x v="3"/>
    <x v="2"/>
    <x v="0"/>
    <x v="0"/>
    <x v="1"/>
    <x v="3"/>
    <n v="0"/>
    <n v="0"/>
    <n v="929.83199999999999"/>
    <n v="929.83199999999999"/>
    <n v="929.83199999999999"/>
    <n v="929.83199999999999"/>
    <n v="4413"/>
    <x v="0"/>
    <n v="0"/>
    <n v="0"/>
    <n v="20"/>
    <n v="51"/>
    <n v="0"/>
    <n v="476.06"/>
    <n v="165.21"/>
    <m/>
    <n v="548.25336013912624"/>
    <n v="149.21653430157579"/>
    <n v="0"/>
    <n v="442655.82192000002"/>
    <n v="153617.54472000001"/>
    <n v="0"/>
    <n v="509783.51836488402"/>
    <n v="138746.30852270281"/>
  </r>
  <r>
    <s v="Refaturamento - Regular"/>
    <x v="1"/>
    <x v="1"/>
    <x v="3"/>
    <x v="2"/>
    <x v="0"/>
    <x v="0"/>
    <x v="1"/>
    <x v="3"/>
    <n v="0"/>
    <n v="0"/>
    <n v="-0.21099999999999999"/>
    <n v="-0.21099999999999999"/>
    <n v="-0.21099999999999999"/>
    <n v="-0.21099999999999999"/>
    <n v="0"/>
    <x v="0"/>
    <n v="0"/>
    <n v="0"/>
    <n v="20"/>
    <n v="51"/>
    <n v="0"/>
    <n v="476.06"/>
    <n v="165.21"/>
    <m/>
    <n v="548.25336013912624"/>
    <n v="149.21653430157579"/>
    <n v="0"/>
    <n v="-100.44866"/>
    <n v="-34.859310000000001"/>
    <n v="0"/>
    <n v="-115.68145898935563"/>
    <n v="-31.484688737632492"/>
  </r>
  <r>
    <s v="Sistema de Compensação"/>
    <x v="1"/>
    <x v="1"/>
    <x v="3"/>
    <x v="2"/>
    <x v="0"/>
    <x v="0"/>
    <x v="1"/>
    <x v="3"/>
    <n v="0"/>
    <n v="0"/>
    <n v="10.661"/>
    <n v="10.661"/>
    <n v="10.661"/>
    <n v="10.661"/>
    <n v="74"/>
    <x v="0"/>
    <n v="0"/>
    <n v="0"/>
    <n v="20"/>
    <n v="51"/>
    <n v="0"/>
    <n v="476.06"/>
    <n v="165.21"/>
    <m/>
    <n v="548.25336013912624"/>
    <n v="149.21653430157579"/>
    <n v="0"/>
    <n v="5075.2756600000002"/>
    <n v="1761.3038100000001"/>
    <n v="0"/>
    <n v="5844.9290724432249"/>
    <n v="1590.7974721890994"/>
  </r>
  <r>
    <s v="Regular"/>
    <x v="1"/>
    <x v="1"/>
    <x v="3"/>
    <x v="2"/>
    <x v="0"/>
    <x v="0"/>
    <x v="1"/>
    <x v="4"/>
    <n v="0"/>
    <n v="0"/>
    <n v="1074.8579999999999"/>
    <n v="1074.8579999999999"/>
    <n v="1074.8579999999999"/>
    <n v="1074.8579999999999"/>
    <n v="4419"/>
    <x v="0"/>
    <n v="0"/>
    <n v="0"/>
    <n v="20"/>
    <n v="51"/>
    <n v="0"/>
    <n v="476.06"/>
    <n v="165.21"/>
    <m/>
    <n v="548.25336013912624"/>
    <n v="149.21653430157579"/>
    <n v="0"/>
    <n v="511696.89947999996"/>
    <n v="177577.29018000001"/>
    <n v="0"/>
    <n v="589294.51017242088"/>
    <n v="160386.58562632315"/>
  </r>
  <r>
    <s v="Refaturamento - Regular"/>
    <x v="1"/>
    <x v="1"/>
    <x v="3"/>
    <x v="2"/>
    <x v="0"/>
    <x v="0"/>
    <x v="1"/>
    <x v="4"/>
    <n v="0"/>
    <n v="0"/>
    <n v="-0.26900000000000002"/>
    <n v="-0.26900000000000002"/>
    <n v="-0.26900000000000002"/>
    <n v="-0.26900000000000002"/>
    <n v="0"/>
    <x v="0"/>
    <n v="0"/>
    <n v="0"/>
    <n v="20"/>
    <n v="51"/>
    <n v="0"/>
    <n v="476.06"/>
    <n v="165.21"/>
    <m/>
    <n v="548.25336013912624"/>
    <n v="149.21653430157579"/>
    <n v="0"/>
    <n v="-128.06014000000002"/>
    <n v="-44.441490000000002"/>
    <n v="0"/>
    <n v="-147.48015387742498"/>
    <n v="-40.139247727123887"/>
  </r>
  <r>
    <s v="Sistema de Compensação"/>
    <x v="1"/>
    <x v="1"/>
    <x v="3"/>
    <x v="2"/>
    <x v="0"/>
    <x v="0"/>
    <x v="1"/>
    <x v="4"/>
    <n v="0"/>
    <n v="0"/>
    <n v="11.298999999999999"/>
    <n v="11.298999999999999"/>
    <n v="11.298999999999999"/>
    <n v="11.298999999999999"/>
    <n v="76"/>
    <x v="0"/>
    <n v="0"/>
    <n v="0"/>
    <n v="20"/>
    <n v="51"/>
    <n v="0"/>
    <n v="476.06"/>
    <n v="165.21"/>
    <m/>
    <n v="548.25336013912624"/>
    <n v="149.21653430157579"/>
    <n v="0"/>
    <n v="5379.0019400000001"/>
    <n v="1866.7077899999999"/>
    <n v="0"/>
    <n v="6194.7147162119873"/>
    <n v="1685.9976210735049"/>
  </r>
  <r>
    <s v="Regular"/>
    <x v="1"/>
    <x v="1"/>
    <x v="3"/>
    <x v="2"/>
    <x v="0"/>
    <x v="0"/>
    <x v="1"/>
    <x v="5"/>
    <n v="0"/>
    <n v="0"/>
    <n v="872.83299999999997"/>
    <n v="872.83299999999997"/>
    <n v="872.83299999999997"/>
    <n v="872.83299999999997"/>
    <n v="4239"/>
    <x v="0"/>
    <n v="0"/>
    <n v="0"/>
    <n v="20"/>
    <n v="51"/>
    <n v="0"/>
    <n v="476.06"/>
    <n v="165.21"/>
    <m/>
    <n v="548.25336013912624"/>
    <n v="149.21653430157579"/>
    <n v="0"/>
    <n v="415520.87797999999"/>
    <n v="144200.73993000001"/>
    <n v="0"/>
    <n v="478533.62509031396"/>
    <n v="130241.11528404729"/>
  </r>
  <r>
    <s v="Refaturamento - Regular"/>
    <x v="1"/>
    <x v="1"/>
    <x v="3"/>
    <x v="2"/>
    <x v="0"/>
    <x v="0"/>
    <x v="1"/>
    <x v="5"/>
    <n v="0"/>
    <n v="0"/>
    <n v="-0.16500000000000001"/>
    <n v="-0.16500000000000001"/>
    <n v="-0.16500000000000001"/>
    <n v="-0.16500000000000001"/>
    <n v="0"/>
    <x v="0"/>
    <n v="0"/>
    <n v="0"/>
    <n v="20"/>
    <n v="51"/>
    <n v="0"/>
    <n v="476.06"/>
    <n v="165.21"/>
    <m/>
    <n v="548.25336013912624"/>
    <n v="149.21653430157579"/>
    <n v="0"/>
    <n v="-78.549900000000008"/>
    <n v="-27.259650000000004"/>
    <n v="0"/>
    <n v="-90.461804422955836"/>
    <n v="-24.620728159760006"/>
  </r>
  <r>
    <s v="Sistema de Compensação"/>
    <x v="1"/>
    <x v="1"/>
    <x v="3"/>
    <x v="2"/>
    <x v="0"/>
    <x v="0"/>
    <x v="1"/>
    <x v="5"/>
    <n v="0"/>
    <n v="0"/>
    <n v="9.9290000000000003"/>
    <n v="9.9290000000000003"/>
    <n v="9.9290000000000003"/>
    <n v="9.9290000000000003"/>
    <n v="82"/>
    <x v="0"/>
    <n v="0"/>
    <n v="0"/>
    <n v="20"/>
    <n v="51"/>
    <n v="0"/>
    <n v="476.06"/>
    <n v="165.21"/>
    <m/>
    <n v="548.25336013912624"/>
    <n v="149.21653430157579"/>
    <n v="0"/>
    <n v="4726.7997400000004"/>
    <n v="1640.3700900000001"/>
    <n v="0"/>
    <n v="5443.6076128213845"/>
    <n v="1481.570969080346"/>
  </r>
  <r>
    <s v="Regular"/>
    <x v="1"/>
    <x v="1"/>
    <x v="3"/>
    <x v="2"/>
    <x v="0"/>
    <x v="0"/>
    <x v="1"/>
    <x v="6"/>
    <n v="0"/>
    <n v="0"/>
    <n v="892.02800000000002"/>
    <n v="892.02800000000002"/>
    <n v="892.02800000000002"/>
    <n v="892.02800000000002"/>
    <n v="4216"/>
    <x v="0"/>
    <n v="0"/>
    <n v="0"/>
    <n v="20"/>
    <n v="51"/>
    <n v="0"/>
    <n v="476.06"/>
    <n v="165.21"/>
    <m/>
    <n v="548.25336013912624"/>
    <n v="149.21653430157579"/>
    <n v="0"/>
    <n v="424658.84967999998"/>
    <n v="147371.94588000001"/>
    <n v="0"/>
    <n v="489057.34833818453"/>
    <n v="133105.32665996606"/>
  </r>
  <r>
    <s v="Sistema de Compensação"/>
    <x v="1"/>
    <x v="1"/>
    <x v="3"/>
    <x v="2"/>
    <x v="0"/>
    <x v="0"/>
    <x v="1"/>
    <x v="6"/>
    <n v="0"/>
    <n v="0"/>
    <n v="15.045"/>
    <n v="15.045"/>
    <n v="15.045"/>
    <n v="15.045"/>
    <n v="88"/>
    <x v="0"/>
    <n v="0"/>
    <n v="0"/>
    <n v="20"/>
    <n v="51"/>
    <n v="0"/>
    <n v="476.06"/>
    <n v="165.21"/>
    <m/>
    <n v="548.25336013912624"/>
    <n v="149.21653430157579"/>
    <n v="0"/>
    <n v="7162.3226999999997"/>
    <n v="2485.5844500000003"/>
    <n v="0"/>
    <n v="8248.4718032931542"/>
    <n v="2244.9627585672079"/>
  </r>
  <r>
    <s v="Regular"/>
    <x v="1"/>
    <x v="1"/>
    <x v="3"/>
    <x v="2"/>
    <x v="0"/>
    <x v="0"/>
    <x v="1"/>
    <x v="7"/>
    <n v="0"/>
    <n v="0"/>
    <n v="788.63800000000003"/>
    <n v="788.63800000000003"/>
    <n v="788.63800000000003"/>
    <n v="788.63800000000003"/>
    <n v="4246"/>
    <x v="0"/>
    <n v="0"/>
    <n v="0"/>
    <n v="20"/>
    <n v="51"/>
    <n v="0"/>
    <n v="476.06"/>
    <n v="165.21"/>
    <m/>
    <n v="548.25336013912624"/>
    <n v="149.21653430157579"/>
    <n v="0"/>
    <n v="375439.00628000003"/>
    <n v="130290.88398000001"/>
    <n v="0"/>
    <n v="432373.43343340023"/>
    <n v="117677.82917852614"/>
  </r>
  <r>
    <s v="Refaturamento - Regular"/>
    <x v="1"/>
    <x v="1"/>
    <x v="3"/>
    <x v="2"/>
    <x v="0"/>
    <x v="0"/>
    <x v="1"/>
    <x v="7"/>
    <n v="0"/>
    <n v="0"/>
    <n v="-0.25600000000000001"/>
    <n v="-0.25600000000000001"/>
    <n v="-0.25600000000000001"/>
    <n v="-0.25600000000000001"/>
    <n v="0"/>
    <x v="0"/>
    <n v="0"/>
    <n v="0"/>
    <n v="20"/>
    <n v="51"/>
    <n v="0"/>
    <n v="476.06"/>
    <n v="165.21"/>
    <m/>
    <n v="548.25336013912624"/>
    <n v="149.21653430157579"/>
    <n v="0"/>
    <n v="-121.87136000000001"/>
    <n v="-42.293760000000006"/>
    <n v="0"/>
    <n v="-140.35286019561633"/>
    <n v="-38.199432781203406"/>
  </r>
  <r>
    <s v="Sistema de Compensação"/>
    <x v="1"/>
    <x v="1"/>
    <x v="3"/>
    <x v="2"/>
    <x v="0"/>
    <x v="0"/>
    <x v="1"/>
    <x v="7"/>
    <n v="0"/>
    <n v="0"/>
    <n v="11.39"/>
    <n v="11.39"/>
    <n v="11.39"/>
    <n v="11.39"/>
    <n v="87"/>
    <x v="0"/>
    <n v="0"/>
    <n v="0"/>
    <n v="20"/>
    <n v="51"/>
    <n v="0"/>
    <n v="476.06"/>
    <n v="165.21"/>
    <m/>
    <n v="548.25336013912624"/>
    <n v="149.21653430157579"/>
    <n v="0"/>
    <n v="5422.3234000000002"/>
    <n v="1881.7419000000002"/>
    <n v="0"/>
    <n v="6244.6057719846485"/>
    <n v="1699.5763256949483"/>
  </r>
  <r>
    <s v="Regular"/>
    <x v="1"/>
    <x v="1"/>
    <x v="3"/>
    <x v="2"/>
    <x v="0"/>
    <x v="0"/>
    <x v="1"/>
    <x v="8"/>
    <n v="0"/>
    <n v="0"/>
    <n v="744.77099999999996"/>
    <n v="744.77099999999996"/>
    <n v="744.77099999999996"/>
    <n v="744.77099999999996"/>
    <n v="4264"/>
    <x v="0"/>
    <n v="0"/>
    <n v="0"/>
    <n v="20"/>
    <n v="51"/>
    <n v="0"/>
    <n v="476.06"/>
    <n v="165.21"/>
    <m/>
    <n v="548.25336013912624"/>
    <n v="149.21653430157579"/>
    <n v="0"/>
    <n v="354555.68225999997"/>
    <n v="123043.61691"/>
    <n v="0"/>
    <n v="408323.20328417717"/>
    <n v="111132.1474683189"/>
  </r>
  <r>
    <s v="Refaturamento - Regular"/>
    <x v="1"/>
    <x v="1"/>
    <x v="3"/>
    <x v="2"/>
    <x v="0"/>
    <x v="0"/>
    <x v="1"/>
    <x v="8"/>
    <n v="0"/>
    <n v="0"/>
    <n v="-0.29299999999999998"/>
    <n v="-0.29299999999999998"/>
    <n v="-0.29299999999999998"/>
    <n v="-0.29299999999999998"/>
    <n v="0"/>
    <x v="0"/>
    <n v="0"/>
    <n v="0"/>
    <n v="20"/>
    <n v="51"/>
    <n v="0"/>
    <n v="476.06"/>
    <n v="165.21"/>
    <m/>
    <n v="548.25336013912624"/>
    <n v="149.21653430157579"/>
    <n v="0"/>
    <n v="-139.48558"/>
    <n v="-48.406529999999997"/>
    <n v="0"/>
    <n v="-160.63823452076397"/>
    <n v="-43.720444550361705"/>
  </r>
  <r>
    <s v="Sistema de Compensação"/>
    <x v="1"/>
    <x v="1"/>
    <x v="3"/>
    <x v="2"/>
    <x v="0"/>
    <x v="0"/>
    <x v="1"/>
    <x v="8"/>
    <n v="0"/>
    <n v="0"/>
    <n v="12.811999999999999"/>
    <n v="12.811999999999999"/>
    <n v="12.811999999999999"/>
    <n v="12.811999999999999"/>
    <n v="96"/>
    <x v="0"/>
    <n v="0"/>
    <n v="0"/>
    <n v="20"/>
    <n v="51"/>
    <n v="0"/>
    <n v="476.06"/>
    <n v="165.21"/>
    <m/>
    <n v="548.25336013912624"/>
    <n v="149.21653430157579"/>
    <n v="0"/>
    <n v="6099.2807199999997"/>
    <n v="2116.6705200000001"/>
    <n v="0"/>
    <n v="7024.2220501024849"/>
    <n v="1911.7622374717889"/>
  </r>
  <r>
    <s v="Regular"/>
    <x v="1"/>
    <x v="1"/>
    <x v="3"/>
    <x v="2"/>
    <x v="0"/>
    <x v="0"/>
    <x v="1"/>
    <x v="9"/>
    <n v="0"/>
    <n v="0"/>
    <n v="835.13599999999997"/>
    <n v="835.13599999999997"/>
    <n v="835.13599999999997"/>
    <n v="835.13599999999997"/>
    <n v="4321"/>
    <x v="0"/>
    <n v="0"/>
    <n v="0"/>
    <n v="20"/>
    <n v="51"/>
    <n v="0"/>
    <n v="476.06"/>
    <n v="165.21"/>
    <m/>
    <n v="548.25336013912624"/>
    <n v="149.21653430157579"/>
    <n v="0"/>
    <n v="397574.84415999998"/>
    <n v="137972.81856000001"/>
    <n v="0"/>
    <n v="457866.1181731493"/>
    <n v="124616.09959048079"/>
  </r>
  <r>
    <s v="Refaturamento - Regular"/>
    <x v="1"/>
    <x v="1"/>
    <x v="3"/>
    <x v="2"/>
    <x v="0"/>
    <x v="0"/>
    <x v="1"/>
    <x v="9"/>
    <n v="0"/>
    <n v="0"/>
    <n v="-0.499"/>
    <n v="-0.499"/>
    <n v="-0.499"/>
    <n v="-0.499"/>
    <n v="0"/>
    <x v="0"/>
    <n v="0"/>
    <n v="0"/>
    <n v="20"/>
    <n v="51"/>
    <n v="0"/>
    <n v="476.06"/>
    <n v="165.21"/>
    <m/>
    <n v="548.25336013912624"/>
    <n v="149.21653430157579"/>
    <n v="0"/>
    <n v="-237.55394000000001"/>
    <n v="-82.439790000000002"/>
    <n v="0"/>
    <n v="-273.57842670942398"/>
    <n v="-74.459050616486323"/>
  </r>
  <r>
    <s v="Sistema de Compensação"/>
    <x v="1"/>
    <x v="1"/>
    <x v="3"/>
    <x v="2"/>
    <x v="0"/>
    <x v="0"/>
    <x v="1"/>
    <x v="9"/>
    <n v="0"/>
    <n v="0"/>
    <n v="21.777999999999999"/>
    <n v="21.777999999999999"/>
    <n v="21.777999999999999"/>
    <n v="21.777999999999999"/>
    <n v="99"/>
    <x v="0"/>
    <n v="0"/>
    <n v="0"/>
    <n v="20"/>
    <n v="51"/>
    <n v="0"/>
    <n v="476.06"/>
    <n v="165.21"/>
    <m/>
    <n v="548.25336013912624"/>
    <n v="149.21653430157579"/>
    <n v="0"/>
    <n v="10367.634679999999"/>
    <n v="3597.9433800000002"/>
    <n v="0"/>
    <n v="11939.861677109891"/>
    <n v="3249.6376840197172"/>
  </r>
  <r>
    <s v="Regular"/>
    <x v="1"/>
    <x v="1"/>
    <x v="3"/>
    <x v="2"/>
    <x v="0"/>
    <x v="0"/>
    <x v="1"/>
    <x v="10"/>
    <n v="0"/>
    <n v="0"/>
    <n v="714.19799999999998"/>
    <n v="714.19799999999998"/>
    <n v="714.19799999999998"/>
    <n v="714.19799999999998"/>
    <n v="4383"/>
    <x v="0"/>
    <n v="0"/>
    <n v="0"/>
    <n v="20"/>
    <n v="51"/>
    <n v="0"/>
    <n v="476.06"/>
    <n v="165.21"/>
    <m/>
    <n v="548.25336013912624"/>
    <n v="149.21653430157579"/>
    <n v="0"/>
    <n v="340001.09987999999"/>
    <n v="117992.65158000001"/>
    <n v="0"/>
    <n v="391561.45330464368"/>
    <n v="106570.15036511682"/>
  </r>
  <r>
    <s v="Sistema de Compensação"/>
    <x v="1"/>
    <x v="1"/>
    <x v="3"/>
    <x v="2"/>
    <x v="0"/>
    <x v="0"/>
    <x v="1"/>
    <x v="10"/>
    <n v="0"/>
    <n v="0"/>
    <n v="15.89"/>
    <n v="15.89"/>
    <n v="15.89"/>
    <n v="15.89"/>
    <n v="103"/>
    <x v="0"/>
    <n v="0"/>
    <n v="0"/>
    <n v="20"/>
    <n v="51"/>
    <n v="0"/>
    <n v="476.06"/>
    <n v="165.21"/>
    <m/>
    <n v="548.25336013912624"/>
    <n v="149.21653430157579"/>
    <n v="0"/>
    <n v="7564.5934000000007"/>
    <n v="2625.1869000000002"/>
    <n v="0"/>
    <n v="8711.7458926107156"/>
    <n v="2371.0507300520394"/>
  </r>
  <r>
    <s v="Regular"/>
    <x v="1"/>
    <x v="1"/>
    <x v="3"/>
    <x v="2"/>
    <x v="0"/>
    <x v="0"/>
    <x v="1"/>
    <x v="11"/>
    <n v="0"/>
    <n v="0"/>
    <n v="793.97900000000004"/>
    <n v="793.97900000000004"/>
    <n v="793.97900000000004"/>
    <n v="793.97900000000004"/>
    <n v="4383"/>
    <x v="0"/>
    <n v="0"/>
    <n v="0"/>
    <n v="20"/>
    <n v="51"/>
    <n v="0"/>
    <n v="476.06"/>
    <n v="165.21"/>
    <m/>
    <n v="548.25336013912624"/>
    <n v="149.21653430157579"/>
    <n v="0"/>
    <n v="377981.64274000004"/>
    <n v="131173.27059"/>
    <n v="0"/>
    <n v="435301.65462990332"/>
    <n v="118474.79468823085"/>
  </r>
  <r>
    <s v="Sistema de Compensação"/>
    <x v="1"/>
    <x v="1"/>
    <x v="3"/>
    <x v="2"/>
    <x v="0"/>
    <x v="0"/>
    <x v="1"/>
    <x v="11"/>
    <n v="0"/>
    <n v="0"/>
    <n v="15.532999999999999"/>
    <n v="15.532999999999999"/>
    <n v="15.532999999999999"/>
    <n v="15.532999999999999"/>
    <n v="112"/>
    <x v="0"/>
    <n v="0"/>
    <n v="0"/>
    <n v="20"/>
    <n v="51"/>
    <n v="0"/>
    <n v="476.06"/>
    <n v="165.21"/>
    <m/>
    <n v="548.25336013912624"/>
    <n v="149.21653430157579"/>
    <n v="0"/>
    <n v="7394.6399799999999"/>
    <n v="2566.2069299999998"/>
    <n v="0"/>
    <n v="8516.0194430410484"/>
    <n v="2317.7804273063766"/>
  </r>
  <r>
    <s v="Regular"/>
    <x v="1"/>
    <x v="1"/>
    <x v="3"/>
    <x v="3"/>
    <x v="0"/>
    <x v="0"/>
    <x v="1"/>
    <x v="0"/>
    <n v="0"/>
    <n v="0"/>
    <n v="5.91"/>
    <n v="5.91"/>
    <n v="5.91"/>
    <n v="5.91"/>
    <n v="11"/>
    <x v="0"/>
    <n v="0"/>
    <n v="0"/>
    <n v="8"/>
    <n v="47"/>
    <n v="0"/>
    <n v="142.83000000000001"/>
    <n v="57.82"/>
    <m/>
    <n v="154.62184784882203"/>
    <n v="52.225787005551524"/>
    <n v="0"/>
    <n v="844.12530000000004"/>
    <n v="341.71620000000001"/>
    <n v="0"/>
    <n v="913.81512078653816"/>
    <n v="308.65440120280954"/>
  </r>
  <r>
    <s v="Regular"/>
    <x v="1"/>
    <x v="1"/>
    <x v="3"/>
    <x v="3"/>
    <x v="0"/>
    <x v="0"/>
    <x v="1"/>
    <x v="1"/>
    <n v="0"/>
    <n v="0"/>
    <n v="5.97"/>
    <n v="5.97"/>
    <n v="5.97"/>
    <n v="5.97"/>
    <n v="14"/>
    <x v="0"/>
    <n v="0"/>
    <n v="0"/>
    <n v="8"/>
    <n v="47"/>
    <n v="0"/>
    <n v="142.83000000000001"/>
    <n v="57.82"/>
    <m/>
    <n v="154.62184784882203"/>
    <n v="52.225787005551524"/>
    <n v="0"/>
    <n v="852.69510000000002"/>
    <n v="345.18540000000002"/>
    <n v="0"/>
    <n v="923.0924316574675"/>
    <n v="311.78794842314261"/>
  </r>
  <r>
    <s v="Regular"/>
    <x v="1"/>
    <x v="1"/>
    <x v="3"/>
    <x v="3"/>
    <x v="0"/>
    <x v="0"/>
    <x v="1"/>
    <x v="2"/>
    <n v="0"/>
    <n v="0"/>
    <n v="5.97"/>
    <n v="5.97"/>
    <n v="5.97"/>
    <n v="5.97"/>
    <n v="11"/>
    <x v="0"/>
    <n v="0"/>
    <n v="0"/>
    <n v="8"/>
    <n v="47"/>
    <n v="0"/>
    <n v="142.83000000000001"/>
    <n v="57.82"/>
    <m/>
    <n v="154.62184784882203"/>
    <n v="52.225787005551524"/>
    <n v="0"/>
    <n v="852.69510000000002"/>
    <n v="345.18540000000002"/>
    <n v="0"/>
    <n v="923.0924316574675"/>
    <n v="311.78794842314261"/>
  </r>
  <r>
    <s v="Regular"/>
    <x v="1"/>
    <x v="1"/>
    <x v="3"/>
    <x v="3"/>
    <x v="0"/>
    <x v="0"/>
    <x v="1"/>
    <x v="3"/>
    <n v="0"/>
    <n v="0"/>
    <n v="6.3"/>
    <n v="6.3"/>
    <n v="6.3"/>
    <n v="6.3"/>
    <n v="8"/>
    <x v="0"/>
    <n v="0"/>
    <n v="0"/>
    <n v="8"/>
    <n v="47"/>
    <n v="0"/>
    <n v="142.83000000000001"/>
    <n v="57.82"/>
    <m/>
    <n v="154.62184784882203"/>
    <n v="52.225787005551524"/>
    <n v="0"/>
    <n v="899.82900000000006"/>
    <n v="364.26600000000002"/>
    <n v="0"/>
    <n v="974.11764144757876"/>
    <n v="329.02245813497461"/>
  </r>
  <r>
    <s v="Regular"/>
    <x v="1"/>
    <x v="1"/>
    <x v="3"/>
    <x v="3"/>
    <x v="0"/>
    <x v="0"/>
    <x v="1"/>
    <x v="4"/>
    <n v="0"/>
    <n v="0"/>
    <n v="6.39"/>
    <n v="6.39"/>
    <n v="6.39"/>
    <n v="6.39"/>
    <n v="6"/>
    <x v="0"/>
    <n v="0"/>
    <n v="0"/>
    <n v="8"/>
    <n v="47"/>
    <n v="0"/>
    <n v="142.83000000000001"/>
    <n v="57.82"/>
    <m/>
    <n v="154.62184784882203"/>
    <n v="52.225787005551524"/>
    <n v="0"/>
    <n v="912.68370000000004"/>
    <n v="369.46979999999996"/>
    <n v="0"/>
    <n v="988.03360775397266"/>
    <n v="333.72277896547422"/>
  </r>
  <r>
    <s v="Regular"/>
    <x v="1"/>
    <x v="1"/>
    <x v="3"/>
    <x v="3"/>
    <x v="0"/>
    <x v="0"/>
    <x v="1"/>
    <x v="5"/>
    <n v="0"/>
    <n v="0"/>
    <n v="12.179"/>
    <n v="12.179"/>
    <n v="12.179"/>
    <n v="12.179"/>
    <n v="19"/>
    <x v="0"/>
    <n v="0"/>
    <n v="0"/>
    <n v="8"/>
    <n v="47"/>
    <n v="0"/>
    <n v="142.83000000000001"/>
    <n v="57.82"/>
    <m/>
    <n v="154.62184784882203"/>
    <n v="52.225787005551524"/>
    <n v="0"/>
    <n v="1739.5265700000002"/>
    <n v="704.18978000000004"/>
    <n v="0"/>
    <n v="1883.1394849508035"/>
    <n v="636.05785994061205"/>
  </r>
  <r>
    <s v="Regular"/>
    <x v="1"/>
    <x v="1"/>
    <x v="3"/>
    <x v="3"/>
    <x v="0"/>
    <x v="0"/>
    <x v="1"/>
    <x v="6"/>
    <n v="0"/>
    <n v="0"/>
    <n v="13.053000000000001"/>
    <n v="13.053000000000001"/>
    <n v="13.053000000000001"/>
    <n v="13.053000000000001"/>
    <n v="23"/>
    <x v="0"/>
    <n v="0"/>
    <n v="0"/>
    <n v="8"/>
    <n v="47"/>
    <n v="0"/>
    <n v="142.83000000000001"/>
    <n v="57.82"/>
    <m/>
    <n v="154.62184784882203"/>
    <n v="52.225787005551524"/>
    <n v="0"/>
    <n v="1864.3599900000004"/>
    <n v="754.72446000000002"/>
    <n v="0"/>
    <n v="2018.2789799706741"/>
    <n v="681.70319778346413"/>
  </r>
  <r>
    <s v="Regular"/>
    <x v="1"/>
    <x v="1"/>
    <x v="3"/>
    <x v="3"/>
    <x v="0"/>
    <x v="0"/>
    <x v="1"/>
    <x v="7"/>
    <n v="0"/>
    <n v="0"/>
    <n v="13.14"/>
    <n v="13.14"/>
    <n v="13.14"/>
    <n v="13.14"/>
    <n v="24"/>
    <x v="0"/>
    <n v="0"/>
    <n v="0"/>
    <n v="8"/>
    <n v="47"/>
    <n v="0"/>
    <n v="142.83000000000001"/>
    <n v="57.82"/>
    <m/>
    <n v="154.62184784882203"/>
    <n v="52.225787005551524"/>
    <n v="0"/>
    <n v="1876.7862000000002"/>
    <n v="759.75480000000005"/>
    <n v="0"/>
    <n v="2031.7310807335216"/>
    <n v="686.24684125294709"/>
  </r>
  <r>
    <s v="Regular"/>
    <x v="1"/>
    <x v="1"/>
    <x v="3"/>
    <x v="3"/>
    <x v="0"/>
    <x v="0"/>
    <x v="1"/>
    <x v="8"/>
    <n v="0"/>
    <n v="0"/>
    <n v="12.45"/>
    <n v="12.45"/>
    <n v="12.45"/>
    <n v="12.45"/>
    <n v="33"/>
    <x v="0"/>
    <n v="0"/>
    <n v="0"/>
    <n v="8"/>
    <n v="47"/>
    <n v="0"/>
    <n v="142.83000000000001"/>
    <n v="57.82"/>
    <m/>
    <n v="154.62184784882203"/>
    <n v="52.225787005551524"/>
    <n v="0"/>
    <n v="1778.2335"/>
    <n v="719.85899999999992"/>
    <n v="0"/>
    <n v="1925.0420057178342"/>
    <n v="650.21104821911649"/>
  </r>
  <r>
    <s v="Regular"/>
    <x v="1"/>
    <x v="1"/>
    <x v="3"/>
    <x v="3"/>
    <x v="0"/>
    <x v="0"/>
    <x v="1"/>
    <x v="9"/>
    <n v="0"/>
    <n v="0"/>
    <n v="10.65"/>
    <n v="10.65"/>
    <n v="10.65"/>
    <n v="10.65"/>
    <n v="24"/>
    <x v="0"/>
    <n v="0"/>
    <n v="0"/>
    <n v="8"/>
    <n v="47"/>
    <n v="0"/>
    <n v="142.83000000000001"/>
    <n v="57.82"/>
    <m/>
    <n v="154.62184784882203"/>
    <n v="52.225787005551524"/>
    <n v="0"/>
    <n v="1521.1395000000002"/>
    <n v="615.78300000000002"/>
    <n v="0"/>
    <n v="1646.7226795899546"/>
    <n v="556.20463160912379"/>
  </r>
  <r>
    <s v="Regular"/>
    <x v="1"/>
    <x v="1"/>
    <x v="3"/>
    <x v="3"/>
    <x v="0"/>
    <x v="0"/>
    <x v="1"/>
    <x v="10"/>
    <n v="0"/>
    <n v="0"/>
    <n v="9.48"/>
    <n v="9.48"/>
    <n v="9.48"/>
    <n v="9.48"/>
    <n v="18"/>
    <x v="0"/>
    <n v="0"/>
    <n v="0"/>
    <n v="8"/>
    <n v="47"/>
    <n v="0"/>
    <n v="142.83000000000001"/>
    <n v="57.82"/>
    <m/>
    <n v="154.62184784882203"/>
    <n v="52.225787005551524"/>
    <n v="0"/>
    <n v="1354.0284000000001"/>
    <n v="548.1336"/>
    <n v="0"/>
    <n v="1465.8151176068329"/>
    <n v="495.10046081262846"/>
  </r>
  <r>
    <s v="Regular"/>
    <x v="1"/>
    <x v="1"/>
    <x v="3"/>
    <x v="3"/>
    <x v="0"/>
    <x v="0"/>
    <x v="1"/>
    <x v="11"/>
    <n v="0"/>
    <n v="0"/>
    <n v="9.6300000000000008"/>
    <n v="9.6300000000000008"/>
    <n v="9.6300000000000008"/>
    <n v="9.6300000000000008"/>
    <n v="18"/>
    <x v="0"/>
    <n v="0"/>
    <n v="0"/>
    <n v="8"/>
    <n v="47"/>
    <n v="0"/>
    <n v="142.83000000000001"/>
    <n v="57.82"/>
    <m/>
    <n v="154.62184784882203"/>
    <n v="52.225787005551524"/>
    <n v="0"/>
    <n v="1375.4529000000002"/>
    <n v="556.8066"/>
    <n v="0"/>
    <n v="1489.0083947841563"/>
    <n v="502.93432886346119"/>
  </r>
  <r>
    <s v="Regular"/>
    <x v="1"/>
    <x v="1"/>
    <x v="3"/>
    <x v="4"/>
    <x v="0"/>
    <x v="0"/>
    <x v="1"/>
    <x v="0"/>
    <n v="0"/>
    <n v="0"/>
    <n v="12.31"/>
    <n v="12.31"/>
    <n v="12.31"/>
    <n v="12.31"/>
    <n v="27"/>
    <x v="0"/>
    <n v="0"/>
    <n v="0"/>
    <n v="14"/>
    <n v="68"/>
    <n v="0"/>
    <n v="244.85"/>
    <n v="99.12"/>
    <m/>
    <n v="265.06602488369492"/>
    <n v="89.529920580945472"/>
    <n v="0"/>
    <n v="3014.1035000000002"/>
    <n v="1220.1672000000001"/>
    <n v="0"/>
    <n v="3262.9627663182846"/>
    <n v="1102.1133223514389"/>
  </r>
  <r>
    <s v="Regular"/>
    <x v="1"/>
    <x v="1"/>
    <x v="3"/>
    <x v="4"/>
    <x v="0"/>
    <x v="0"/>
    <x v="1"/>
    <x v="1"/>
    <n v="0"/>
    <n v="0"/>
    <n v="11.971"/>
    <n v="11.971"/>
    <n v="11.971"/>
    <n v="11.971"/>
    <n v="40"/>
    <x v="0"/>
    <n v="0"/>
    <n v="0"/>
    <n v="14"/>
    <n v="68"/>
    <n v="0"/>
    <n v="244.85"/>
    <n v="99.12"/>
    <m/>
    <n v="265.06602488369492"/>
    <n v="89.529920580945472"/>
    <n v="0"/>
    <n v="2931.09935"/>
    <n v="1186.5655200000001"/>
    <n v="0"/>
    <n v="3173.105383882712"/>
    <n v="1071.7626792744982"/>
  </r>
  <r>
    <s v="Regular"/>
    <x v="1"/>
    <x v="1"/>
    <x v="3"/>
    <x v="4"/>
    <x v="0"/>
    <x v="0"/>
    <x v="1"/>
    <x v="2"/>
    <n v="0"/>
    <n v="0"/>
    <n v="12.382"/>
    <n v="12.382"/>
    <n v="12.382"/>
    <n v="12.382"/>
    <n v="26"/>
    <x v="0"/>
    <n v="0"/>
    <n v="0"/>
    <n v="14"/>
    <n v="68"/>
    <n v="0"/>
    <n v="244.85"/>
    <n v="99.12"/>
    <m/>
    <n v="265.06602488369492"/>
    <n v="89.529920580945472"/>
    <n v="0"/>
    <n v="3031.7327"/>
    <n v="1227.30384"/>
    <n v="0"/>
    <n v="3282.0475201099102"/>
    <n v="1108.5594766332667"/>
  </r>
  <r>
    <s v="Regular"/>
    <x v="1"/>
    <x v="1"/>
    <x v="3"/>
    <x v="4"/>
    <x v="0"/>
    <x v="0"/>
    <x v="1"/>
    <x v="3"/>
    <n v="0"/>
    <n v="0"/>
    <n v="13.146000000000001"/>
    <n v="13.146000000000001"/>
    <n v="13.146000000000001"/>
    <n v="13.146000000000001"/>
    <n v="26"/>
    <x v="0"/>
    <n v="0"/>
    <n v="0"/>
    <n v="14"/>
    <n v="68"/>
    <n v="0"/>
    <n v="244.85"/>
    <n v="99.12"/>
    <m/>
    <n v="265.06602488369492"/>
    <n v="89.529920580945472"/>
    <n v="0"/>
    <n v="3218.7981"/>
    <n v="1303.0315200000002"/>
    <n v="0"/>
    <n v="3484.5579631210535"/>
    <n v="1176.9603359571092"/>
  </r>
  <r>
    <s v="Regular"/>
    <x v="1"/>
    <x v="1"/>
    <x v="3"/>
    <x v="4"/>
    <x v="0"/>
    <x v="0"/>
    <x v="1"/>
    <x v="4"/>
    <n v="0"/>
    <n v="0"/>
    <n v="13.582000000000001"/>
    <n v="13.582000000000001"/>
    <n v="13.582000000000001"/>
    <n v="13.582000000000001"/>
    <n v="23"/>
    <x v="0"/>
    <n v="0"/>
    <n v="0"/>
    <n v="14"/>
    <n v="68"/>
    <n v="0"/>
    <n v="244.85"/>
    <n v="99.12"/>
    <m/>
    <n v="265.06602488369492"/>
    <n v="89.529920580945472"/>
    <n v="0"/>
    <n v="3325.5527000000002"/>
    <n v="1346.2478400000002"/>
    <n v="0"/>
    <n v="3600.1267499703445"/>
    <n v="1215.9953813304014"/>
  </r>
  <r>
    <s v="Regular"/>
    <x v="1"/>
    <x v="1"/>
    <x v="3"/>
    <x v="4"/>
    <x v="0"/>
    <x v="0"/>
    <x v="1"/>
    <x v="5"/>
    <n v="0"/>
    <n v="0"/>
    <n v="24.603000000000002"/>
    <n v="24.603000000000002"/>
    <n v="24.603000000000002"/>
    <n v="24.603000000000002"/>
    <n v="75"/>
    <x v="0"/>
    <n v="0"/>
    <n v="0"/>
    <n v="14"/>
    <n v="68"/>
    <n v="0"/>
    <n v="244.85"/>
    <n v="99.12"/>
    <m/>
    <n v="265.06602488369492"/>
    <n v="89.529920580945472"/>
    <n v="0"/>
    <n v="6024.0445500000005"/>
    <n v="2438.6493600000003"/>
    <n v="0"/>
    <n v="6521.4194102135461"/>
    <n v="2202.7046360530016"/>
  </r>
  <r>
    <s v="Regular"/>
    <x v="1"/>
    <x v="1"/>
    <x v="3"/>
    <x v="4"/>
    <x v="0"/>
    <x v="0"/>
    <x v="1"/>
    <x v="6"/>
    <n v="0"/>
    <n v="0"/>
    <n v="26.404"/>
    <n v="26.404"/>
    <n v="26.404"/>
    <n v="26.404"/>
    <n v="77"/>
    <x v="0"/>
    <n v="0"/>
    <n v="0"/>
    <n v="14"/>
    <n v="68"/>
    <n v="0"/>
    <n v="244.85"/>
    <n v="99.12"/>
    <m/>
    <n v="265.06602488369492"/>
    <n v="89.529920580945472"/>
    <n v="0"/>
    <n v="6465.0194000000001"/>
    <n v="2617.1644799999999"/>
    <n v="0"/>
    <n v="6998.8033210290805"/>
    <n v="2363.9480230192844"/>
  </r>
  <r>
    <s v="Regular"/>
    <x v="1"/>
    <x v="1"/>
    <x v="3"/>
    <x v="4"/>
    <x v="0"/>
    <x v="0"/>
    <x v="1"/>
    <x v="7"/>
    <n v="0"/>
    <n v="0"/>
    <n v="26.151"/>
    <n v="26.151"/>
    <n v="26.151"/>
    <n v="26.151"/>
    <n v="88"/>
    <x v="0"/>
    <n v="0"/>
    <n v="0"/>
    <n v="14"/>
    <n v="68"/>
    <n v="0"/>
    <n v="244.85"/>
    <n v="99.12"/>
    <m/>
    <n v="265.06602488369492"/>
    <n v="89.529920580945472"/>
    <n v="0"/>
    <n v="6403.0723499999995"/>
    <n v="2592.0871200000001"/>
    <n v="0"/>
    <n v="6931.7416167335059"/>
    <n v="2341.2969531123049"/>
  </r>
  <r>
    <s v="Regular"/>
    <x v="1"/>
    <x v="1"/>
    <x v="3"/>
    <x v="4"/>
    <x v="0"/>
    <x v="0"/>
    <x v="1"/>
    <x v="8"/>
    <n v="0"/>
    <n v="0"/>
    <n v="24.312000000000001"/>
    <n v="24.312000000000001"/>
    <n v="24.312000000000001"/>
    <n v="24.312000000000001"/>
    <n v="83"/>
    <x v="0"/>
    <n v="0"/>
    <n v="0"/>
    <n v="14"/>
    <n v="68"/>
    <n v="0"/>
    <n v="244.85"/>
    <n v="99.12"/>
    <m/>
    <n v="265.06602488369492"/>
    <n v="89.529920580945472"/>
    <n v="0"/>
    <n v="5952.7932000000001"/>
    <n v="2409.8054400000001"/>
    <n v="0"/>
    <n v="6444.2851969723915"/>
    <n v="2176.6514291639464"/>
  </r>
  <r>
    <s v="Regular"/>
    <x v="1"/>
    <x v="1"/>
    <x v="3"/>
    <x v="4"/>
    <x v="0"/>
    <x v="0"/>
    <x v="1"/>
    <x v="9"/>
    <n v="0"/>
    <n v="0"/>
    <n v="21.07"/>
    <n v="21.07"/>
    <n v="21.07"/>
    <n v="21.07"/>
    <n v="74"/>
    <x v="0"/>
    <n v="0"/>
    <n v="0"/>
    <n v="14"/>
    <n v="68"/>
    <n v="0"/>
    <n v="244.85"/>
    <n v="99.12"/>
    <m/>
    <n v="265.06602488369492"/>
    <n v="89.529920580945472"/>
    <n v="0"/>
    <n v="5158.9894999999997"/>
    <n v="2088.4584"/>
    <n v="0"/>
    <n v="5584.9411442994524"/>
    <n v="1886.395426640521"/>
  </r>
  <r>
    <s v="Regular"/>
    <x v="1"/>
    <x v="1"/>
    <x v="3"/>
    <x v="4"/>
    <x v="0"/>
    <x v="0"/>
    <x v="1"/>
    <x v="10"/>
    <n v="0"/>
    <n v="0"/>
    <n v="18.611000000000001"/>
    <n v="18.611000000000001"/>
    <n v="18.611000000000001"/>
    <n v="18.611000000000001"/>
    <n v="79"/>
    <x v="0"/>
    <n v="0"/>
    <n v="0"/>
    <n v="14"/>
    <n v="68"/>
    <n v="0"/>
    <n v="244.85"/>
    <n v="99.12"/>
    <m/>
    <n v="265.06602488369492"/>
    <n v="89.529920580945472"/>
    <n v="0"/>
    <n v="4556.9033500000005"/>
    <n v="1844.7223200000001"/>
    <n v="0"/>
    <n v="4933.1437891104461"/>
    <n v="1666.2413519319762"/>
  </r>
  <r>
    <s v="Regular"/>
    <x v="1"/>
    <x v="1"/>
    <x v="3"/>
    <x v="4"/>
    <x v="0"/>
    <x v="0"/>
    <x v="1"/>
    <x v="11"/>
    <n v="0"/>
    <n v="0"/>
    <n v="19.117999999999999"/>
    <n v="19.117999999999999"/>
    <n v="19.117999999999999"/>
    <n v="19.117999999999999"/>
    <n v="68"/>
    <x v="0"/>
    <n v="0"/>
    <n v="0"/>
    <n v="14"/>
    <n v="68"/>
    <n v="0"/>
    <n v="244.85"/>
    <n v="99.12"/>
    <m/>
    <n v="265.06602488369492"/>
    <n v="89.529920580945472"/>
    <n v="0"/>
    <n v="4681.0422999999992"/>
    <n v="1894.9761599999999"/>
    <n v="0"/>
    <n v="5067.532263726479"/>
    <n v="1711.6330216665153"/>
  </r>
  <r>
    <s v="Regular"/>
    <x v="1"/>
    <x v="1"/>
    <x v="3"/>
    <x v="5"/>
    <x v="0"/>
    <x v="0"/>
    <x v="1"/>
    <x v="0"/>
    <n v="0"/>
    <n v="0"/>
    <n v="12.941000000000001"/>
    <n v="12.941000000000001"/>
    <n v="12.941000000000001"/>
    <n v="12.941000000000001"/>
    <n v="91"/>
    <x v="0"/>
    <n v="0"/>
    <n v="0"/>
    <n v="12"/>
    <n v="64"/>
    <n v="0"/>
    <n v="367.27"/>
    <n v="148.69"/>
    <m/>
    <n v="397.59903732554244"/>
    <n v="134.29488087141823"/>
    <n v="0"/>
    <n v="4752.8410700000004"/>
    <n v="1924.1972900000001"/>
    <n v="0"/>
    <n v="5145.3291420298447"/>
    <n v="1737.9100533570233"/>
  </r>
  <r>
    <s v="Regular"/>
    <x v="1"/>
    <x v="1"/>
    <x v="3"/>
    <x v="5"/>
    <x v="0"/>
    <x v="0"/>
    <x v="1"/>
    <x v="1"/>
    <n v="0"/>
    <n v="0"/>
    <n v="10.238"/>
    <n v="10.238"/>
    <n v="10.238"/>
    <n v="10.238"/>
    <n v="104"/>
    <x v="0"/>
    <n v="0"/>
    <n v="0"/>
    <n v="12"/>
    <n v="64"/>
    <n v="0"/>
    <n v="367.27"/>
    <n v="148.69"/>
    <m/>
    <n v="397.59903732554244"/>
    <n v="134.29488087141823"/>
    <n v="0"/>
    <n v="3760.1102599999995"/>
    <n v="1522.2882199999999"/>
    <n v="0"/>
    <n v="4070.6189441389033"/>
    <n v="1374.9109903615797"/>
  </r>
  <r>
    <s v="Regular"/>
    <x v="1"/>
    <x v="1"/>
    <x v="3"/>
    <x v="5"/>
    <x v="0"/>
    <x v="0"/>
    <x v="1"/>
    <x v="2"/>
    <n v="0"/>
    <n v="0"/>
    <n v="12.458"/>
    <n v="12.458"/>
    <n v="12.458"/>
    <n v="12.458"/>
    <n v="105"/>
    <x v="0"/>
    <n v="0"/>
    <n v="0"/>
    <n v="12"/>
    <n v="64"/>
    <n v="0"/>
    <n v="367.27"/>
    <n v="148.69"/>
    <m/>
    <n v="397.59903732554244"/>
    <n v="134.29488087141823"/>
    <n v="0"/>
    <n v="4575.4496600000002"/>
    <n v="1852.3800200000001"/>
    <n v="0"/>
    <n v="4953.2888070016079"/>
    <n v="1673.0456258961283"/>
  </r>
  <r>
    <s v="Regular"/>
    <x v="1"/>
    <x v="1"/>
    <x v="3"/>
    <x v="5"/>
    <x v="0"/>
    <x v="0"/>
    <x v="1"/>
    <x v="3"/>
    <n v="0"/>
    <n v="0"/>
    <n v="15.427"/>
    <n v="15.427"/>
    <n v="15.427"/>
    <n v="15.427"/>
    <n v="97"/>
    <x v="0"/>
    <n v="0"/>
    <n v="0"/>
    <n v="12"/>
    <n v="64"/>
    <n v="0"/>
    <n v="367.27"/>
    <n v="148.69"/>
    <m/>
    <n v="397.59903732554244"/>
    <n v="134.29488087141823"/>
    <n v="0"/>
    <n v="5665.8742899999997"/>
    <n v="2293.8406299999997"/>
    <n v="0"/>
    <n v="6133.7603488211435"/>
    <n v="2071.767127203369"/>
  </r>
  <r>
    <s v="Regular"/>
    <x v="1"/>
    <x v="1"/>
    <x v="3"/>
    <x v="5"/>
    <x v="0"/>
    <x v="0"/>
    <x v="1"/>
    <x v="4"/>
    <n v="0"/>
    <n v="0"/>
    <n v="16.670999999999999"/>
    <n v="16.670999999999999"/>
    <n v="16.670999999999999"/>
    <n v="16.670999999999999"/>
    <n v="93"/>
    <x v="0"/>
    <n v="0"/>
    <n v="0"/>
    <n v="12"/>
    <n v="64"/>
    <n v="0"/>
    <n v="367.27"/>
    <n v="148.69"/>
    <m/>
    <n v="397.59903732554244"/>
    <n v="134.29488087141823"/>
    <n v="0"/>
    <n v="6122.7581699999992"/>
    <n v="2478.8109899999999"/>
    <n v="0"/>
    <n v="6628.373551254118"/>
    <n v="2238.8299590074134"/>
  </r>
  <r>
    <s v="Regular"/>
    <x v="1"/>
    <x v="1"/>
    <x v="3"/>
    <x v="5"/>
    <x v="0"/>
    <x v="0"/>
    <x v="1"/>
    <x v="5"/>
    <n v="0"/>
    <n v="0"/>
    <n v="26.309000000000001"/>
    <n v="26.309000000000001"/>
    <n v="26.309000000000001"/>
    <n v="26.309000000000001"/>
    <n v="192"/>
    <x v="0"/>
    <n v="0"/>
    <n v="0"/>
    <n v="12"/>
    <n v="64"/>
    <n v="0"/>
    <n v="367.27"/>
    <n v="148.69"/>
    <m/>
    <n v="397.59903732554244"/>
    <n v="134.29488087141823"/>
    <n v="0"/>
    <n v="9662.5064299999995"/>
    <n v="3911.8852099999999"/>
    <n v="0"/>
    <n v="10460.433072997697"/>
    <n v="3533.1640208461422"/>
  </r>
  <r>
    <s v="Regular"/>
    <x v="1"/>
    <x v="1"/>
    <x v="3"/>
    <x v="5"/>
    <x v="0"/>
    <x v="0"/>
    <x v="1"/>
    <x v="6"/>
    <n v="0"/>
    <n v="0"/>
    <n v="28.52"/>
    <n v="28.52"/>
    <n v="28.52"/>
    <n v="28.52"/>
    <n v="197"/>
    <x v="0"/>
    <n v="0"/>
    <n v="0"/>
    <n v="12"/>
    <n v="64"/>
    <n v="0"/>
    <n v="367.27"/>
    <n v="148.69"/>
    <m/>
    <n v="397.59903732554244"/>
    <n v="134.29488087141823"/>
    <n v="0"/>
    <n v="10474.5404"/>
    <n v="4240.6387999999997"/>
    <n v="0"/>
    <n v="11339.524544524471"/>
    <n v="3830.0900024528478"/>
  </r>
  <r>
    <s v="Regular"/>
    <x v="1"/>
    <x v="1"/>
    <x v="3"/>
    <x v="5"/>
    <x v="0"/>
    <x v="0"/>
    <x v="1"/>
    <x v="7"/>
    <n v="0"/>
    <n v="0"/>
    <n v="26.978999999999999"/>
    <n v="26.978999999999999"/>
    <n v="26.978999999999999"/>
    <n v="26.978999999999999"/>
    <n v="199"/>
    <x v="0"/>
    <n v="0"/>
    <n v="0"/>
    <n v="12"/>
    <n v="64"/>
    <n v="0"/>
    <n v="367.27"/>
    <n v="148.69"/>
    <m/>
    <n v="397.59903732554244"/>
    <n v="134.29488087141823"/>
    <n v="0"/>
    <n v="9908.5773300000001"/>
    <n v="4011.5075099999999"/>
    <n v="0"/>
    <n v="10726.82442800581"/>
    <n v="3623.1415910299925"/>
  </r>
  <r>
    <s v="Regular"/>
    <x v="1"/>
    <x v="1"/>
    <x v="3"/>
    <x v="5"/>
    <x v="0"/>
    <x v="0"/>
    <x v="1"/>
    <x v="8"/>
    <n v="0"/>
    <n v="0"/>
    <n v="22.402999999999999"/>
    <n v="22.402999999999999"/>
    <n v="22.402999999999999"/>
    <n v="22.402999999999999"/>
    <n v="215"/>
    <x v="0"/>
    <n v="0"/>
    <n v="0"/>
    <n v="12"/>
    <n v="64"/>
    <n v="0"/>
    <n v="367.27"/>
    <n v="148.69"/>
    <m/>
    <n v="397.59903732554244"/>
    <n v="134.29488087141823"/>
    <n v="0"/>
    <n v="8227.9498099999983"/>
    <n v="3331.1020699999999"/>
    <n v="0"/>
    <n v="8907.4112332041259"/>
    <n v="3008.6082161623826"/>
  </r>
  <r>
    <s v="Regular"/>
    <x v="1"/>
    <x v="1"/>
    <x v="3"/>
    <x v="5"/>
    <x v="0"/>
    <x v="0"/>
    <x v="1"/>
    <x v="9"/>
    <n v="0"/>
    <n v="0"/>
    <n v="22.442"/>
    <n v="22.442"/>
    <n v="22.442"/>
    <n v="22.442"/>
    <n v="151"/>
    <x v="0"/>
    <n v="0"/>
    <n v="0"/>
    <n v="12"/>
    <n v="64"/>
    <n v="0"/>
    <n v="367.27"/>
    <n v="148.69"/>
    <m/>
    <n v="397.59903732554244"/>
    <n v="134.29488087141823"/>
    <n v="0"/>
    <n v="8242.2733399999997"/>
    <n v="3336.9009799999999"/>
    <n v="0"/>
    <n v="8922.9175956598228"/>
    <n v="3013.8457165163677"/>
  </r>
  <r>
    <s v="Regular"/>
    <x v="1"/>
    <x v="1"/>
    <x v="3"/>
    <x v="5"/>
    <x v="0"/>
    <x v="0"/>
    <x v="1"/>
    <x v="10"/>
    <n v="0"/>
    <n v="0"/>
    <n v="16.286000000000001"/>
    <n v="16.286000000000001"/>
    <n v="16.286000000000001"/>
    <n v="16.286000000000001"/>
    <n v="159"/>
    <x v="0"/>
    <n v="0"/>
    <n v="0"/>
    <n v="12"/>
    <n v="64"/>
    <n v="0"/>
    <n v="367.27"/>
    <n v="148.69"/>
    <m/>
    <n v="397.59903732554244"/>
    <n v="134.29488087141823"/>
    <n v="0"/>
    <n v="5981.3592200000003"/>
    <n v="2421.5653400000001"/>
    <n v="0"/>
    <n v="6475.2979218837845"/>
    <n v="2187.1264298719175"/>
  </r>
  <r>
    <s v="Regular"/>
    <x v="1"/>
    <x v="1"/>
    <x v="3"/>
    <x v="5"/>
    <x v="0"/>
    <x v="0"/>
    <x v="1"/>
    <x v="11"/>
    <n v="0"/>
    <n v="0"/>
    <n v="18.670999999999999"/>
    <n v="18.670999999999999"/>
    <n v="18.670999999999999"/>
    <n v="18.670999999999999"/>
    <n v="162"/>
    <x v="0"/>
    <n v="0"/>
    <n v="0"/>
    <n v="12"/>
    <n v="64"/>
    <n v="0"/>
    <n v="367.27"/>
    <n v="148.69"/>
    <m/>
    <n v="397.59903732554244"/>
    <n v="134.29488087141823"/>
    <n v="0"/>
    <n v="6857.2981699999991"/>
    <n v="2776.1909900000001"/>
    <n v="0"/>
    <n v="7423.5716259052024"/>
    <n v="2507.4197207502498"/>
  </r>
  <r>
    <s v="Regular"/>
    <x v="1"/>
    <x v="1"/>
    <x v="3"/>
    <x v="6"/>
    <x v="0"/>
    <x v="0"/>
    <x v="1"/>
    <x v="0"/>
    <n v="0"/>
    <n v="0"/>
    <n v="5.3769999999999998"/>
    <n v="5.3769999999999998"/>
    <n v="5.3769999999999998"/>
    <n v="5.3769999999999998"/>
    <n v="68"/>
    <x v="0"/>
    <n v="0"/>
    <n v="0"/>
    <n v="18"/>
    <n v="80"/>
    <n v="0"/>
    <n v="408.08"/>
    <n v="165.21"/>
    <m/>
    <n v="441.77670813949157"/>
    <n v="149.21653430157579"/>
    <n v="0"/>
    <n v="2194.2461599999997"/>
    <n v="888.33416999999997"/>
    <n v="0"/>
    <n v="2375.4333596660463"/>
    <n v="802.33730493957296"/>
  </r>
  <r>
    <s v="Regular"/>
    <x v="1"/>
    <x v="1"/>
    <x v="3"/>
    <x v="6"/>
    <x v="0"/>
    <x v="0"/>
    <x v="1"/>
    <x v="1"/>
    <n v="0"/>
    <n v="0"/>
    <n v="2.8479999999999999"/>
    <n v="2.8479999999999999"/>
    <n v="2.8479999999999999"/>
    <n v="2.8479999999999999"/>
    <n v="41"/>
    <x v="0"/>
    <n v="0"/>
    <n v="0"/>
    <n v="18"/>
    <n v="80"/>
    <n v="0"/>
    <n v="408.08"/>
    <n v="165.21"/>
    <m/>
    <n v="441.77670813949157"/>
    <n v="149.21653430157579"/>
    <n v="0"/>
    <n v="1162.2118399999999"/>
    <n v="470.51808"/>
    <n v="0"/>
    <n v="1258.180064781272"/>
    <n v="424.96868969088786"/>
  </r>
  <r>
    <s v="Regular"/>
    <x v="1"/>
    <x v="1"/>
    <x v="3"/>
    <x v="6"/>
    <x v="0"/>
    <x v="0"/>
    <x v="1"/>
    <x v="2"/>
    <n v="0"/>
    <n v="0"/>
    <n v="4.7279999999999998"/>
    <n v="4.7279999999999998"/>
    <n v="4.7279999999999998"/>
    <n v="4.7279999999999998"/>
    <n v="57"/>
    <x v="0"/>
    <n v="0"/>
    <n v="0"/>
    <n v="18"/>
    <n v="80"/>
    <n v="0"/>
    <n v="408.08"/>
    <n v="165.21"/>
    <m/>
    <n v="441.77670813949157"/>
    <n v="149.21653430157579"/>
    <n v="0"/>
    <n v="1929.4022399999999"/>
    <n v="781.11288000000002"/>
    <n v="0"/>
    <n v="2088.7202760835162"/>
    <n v="705.49577417785031"/>
  </r>
  <r>
    <s v="Regular"/>
    <x v="1"/>
    <x v="1"/>
    <x v="3"/>
    <x v="6"/>
    <x v="0"/>
    <x v="0"/>
    <x v="1"/>
    <x v="3"/>
    <n v="0"/>
    <n v="0"/>
    <n v="7.8019999999999996"/>
    <n v="7.8019999999999996"/>
    <n v="7.8019999999999996"/>
    <n v="7.8019999999999996"/>
    <n v="79"/>
    <x v="0"/>
    <n v="0"/>
    <n v="0"/>
    <n v="18"/>
    <n v="80"/>
    <n v="0"/>
    <n v="408.08"/>
    <n v="165.21"/>
    <m/>
    <n v="441.77670813949157"/>
    <n v="149.21653430157579"/>
    <n v="0"/>
    <n v="3183.8401599999997"/>
    <n v="1288.9684199999999"/>
    <n v="0"/>
    <n v="3446.7418769043129"/>
    <n v="1164.1874006208943"/>
  </r>
  <r>
    <s v="Regular"/>
    <x v="1"/>
    <x v="1"/>
    <x v="3"/>
    <x v="6"/>
    <x v="0"/>
    <x v="0"/>
    <x v="1"/>
    <x v="4"/>
    <n v="0"/>
    <n v="0"/>
    <n v="10.47"/>
    <n v="10.47"/>
    <n v="10.47"/>
    <n v="10.47"/>
    <n v="91"/>
    <x v="0"/>
    <n v="0"/>
    <n v="0"/>
    <n v="18"/>
    <n v="80"/>
    <n v="0"/>
    <n v="408.08"/>
    <n v="165.21"/>
    <m/>
    <n v="441.77670813949157"/>
    <n v="149.21653430157579"/>
    <n v="0"/>
    <n v="4272.5976000000001"/>
    <n v="1729.7487000000001"/>
    <n v="0"/>
    <n v="4625.4021342204769"/>
    <n v="1562.2971141374987"/>
  </r>
  <r>
    <s v="Regular"/>
    <x v="1"/>
    <x v="1"/>
    <x v="3"/>
    <x v="6"/>
    <x v="0"/>
    <x v="0"/>
    <x v="1"/>
    <x v="5"/>
    <n v="0"/>
    <n v="0"/>
    <n v="14.282"/>
    <n v="14.282"/>
    <n v="14.282"/>
    <n v="14.282"/>
    <n v="122"/>
    <x v="0"/>
    <n v="0"/>
    <n v="0"/>
    <n v="18"/>
    <n v="80"/>
    <n v="0"/>
    <n v="408.08"/>
    <n v="165.21"/>
    <m/>
    <n v="441.77670813949157"/>
    <n v="149.21653430157579"/>
    <n v="0"/>
    <n v="5828.1985599999998"/>
    <n v="2359.5292199999999"/>
    <n v="0"/>
    <n v="6309.4549456482191"/>
    <n v="2131.1105428951055"/>
  </r>
  <r>
    <s v="Regular"/>
    <x v="1"/>
    <x v="1"/>
    <x v="3"/>
    <x v="6"/>
    <x v="0"/>
    <x v="0"/>
    <x v="1"/>
    <x v="6"/>
    <n v="0"/>
    <n v="0"/>
    <n v="15.81"/>
    <n v="15.81"/>
    <n v="15.81"/>
    <n v="15.81"/>
    <n v="139"/>
    <x v="0"/>
    <n v="0"/>
    <n v="0"/>
    <n v="18"/>
    <n v="80"/>
    <n v="0"/>
    <n v="408.08"/>
    <n v="165.21"/>
    <m/>
    <n v="441.77670813949157"/>
    <n v="149.21653430157579"/>
    <n v="0"/>
    <n v="6451.7448000000004"/>
    <n v="2611.9701"/>
    <n v="0"/>
    <n v="6984.4897556853621"/>
    <n v="2359.1134073079133"/>
  </r>
  <r>
    <s v="Regular"/>
    <x v="1"/>
    <x v="1"/>
    <x v="3"/>
    <x v="6"/>
    <x v="0"/>
    <x v="0"/>
    <x v="1"/>
    <x v="7"/>
    <n v="0"/>
    <n v="0"/>
    <n v="12.138999999999999"/>
    <n v="12.138999999999999"/>
    <n v="12.138999999999999"/>
    <n v="12.138999999999999"/>
    <n v="127"/>
    <x v="0"/>
    <n v="0"/>
    <n v="0"/>
    <n v="18"/>
    <n v="80"/>
    <n v="0"/>
    <n v="408.08"/>
    <n v="165.21"/>
    <m/>
    <n v="441.77670813949157"/>
    <n v="149.21653430157579"/>
    <n v="0"/>
    <n v="4953.6831199999997"/>
    <n v="2005.4841899999999"/>
    <n v="0"/>
    <n v="5362.7274601052877"/>
    <n v="1811.3395098868284"/>
  </r>
  <r>
    <s v="Regular"/>
    <x v="1"/>
    <x v="1"/>
    <x v="3"/>
    <x v="6"/>
    <x v="0"/>
    <x v="0"/>
    <x v="1"/>
    <x v="8"/>
    <n v="0"/>
    <n v="0"/>
    <n v="7.76"/>
    <n v="7.76"/>
    <n v="7.76"/>
    <n v="7.76"/>
    <n v="84"/>
    <x v="0"/>
    <n v="0"/>
    <n v="0"/>
    <n v="18"/>
    <n v="80"/>
    <n v="0"/>
    <n v="408.08"/>
    <n v="165.21"/>
    <m/>
    <n v="441.77670813949157"/>
    <n v="149.21653430157579"/>
    <n v="0"/>
    <n v="3166.7007999999996"/>
    <n v="1282.0296000000001"/>
    <n v="0"/>
    <n v="3428.1872551624547"/>
    <n v="1157.9203061802282"/>
  </r>
  <r>
    <s v="Regular"/>
    <x v="1"/>
    <x v="1"/>
    <x v="3"/>
    <x v="6"/>
    <x v="0"/>
    <x v="0"/>
    <x v="1"/>
    <x v="9"/>
    <n v="0"/>
    <n v="0"/>
    <n v="10.635"/>
    <n v="10.635"/>
    <n v="10.635"/>
    <n v="10.635"/>
    <n v="106"/>
    <x v="0"/>
    <n v="0"/>
    <n v="0"/>
    <n v="18"/>
    <n v="80"/>
    <n v="0"/>
    <n v="408.08"/>
    <n v="165.21"/>
    <m/>
    <n v="441.77670813949157"/>
    <n v="149.21653430157579"/>
    <n v="0"/>
    <n v="4339.9308000000001"/>
    <n v="1757.0083500000001"/>
    <n v="0"/>
    <n v="4698.2952910634931"/>
    <n v="1586.9178422972584"/>
  </r>
  <r>
    <s v="Regular"/>
    <x v="1"/>
    <x v="1"/>
    <x v="3"/>
    <x v="6"/>
    <x v="0"/>
    <x v="0"/>
    <x v="1"/>
    <x v="10"/>
    <n v="0"/>
    <n v="0"/>
    <n v="4.3120000000000003"/>
    <n v="4.3120000000000003"/>
    <n v="4.3120000000000003"/>
    <n v="4.3120000000000003"/>
    <n v="60"/>
    <x v="0"/>
    <n v="0"/>
    <n v="0"/>
    <n v="18"/>
    <n v="80"/>
    <n v="0"/>
    <n v="408.08"/>
    <n v="165.21"/>
    <m/>
    <n v="441.77670813949157"/>
    <n v="149.21653430157579"/>
    <n v="0"/>
    <n v="1759.64096"/>
    <n v="712.38552000000004"/>
    <n v="0"/>
    <n v="1904.9411654974879"/>
    <n v="643.4216959083949"/>
  </r>
  <r>
    <s v="Regular"/>
    <x v="1"/>
    <x v="1"/>
    <x v="3"/>
    <x v="6"/>
    <x v="0"/>
    <x v="0"/>
    <x v="1"/>
    <x v="11"/>
    <n v="0"/>
    <n v="0"/>
    <n v="7.032"/>
    <n v="7.032"/>
    <n v="7.032"/>
    <n v="7.032"/>
    <n v="73"/>
    <x v="0"/>
    <n v="0"/>
    <n v="0"/>
    <n v="18"/>
    <n v="80"/>
    <n v="0"/>
    <n v="408.08"/>
    <n v="165.21"/>
    <m/>
    <n v="441.77670813949157"/>
    <n v="149.21653430157579"/>
    <n v="0"/>
    <n v="2869.6185599999999"/>
    <n v="1161.7567200000001"/>
    <n v="0"/>
    <n v="3106.5738116369048"/>
    <n v="1049.290669208681"/>
  </r>
  <r>
    <s v="Regular"/>
    <x v="2"/>
    <x v="1"/>
    <x v="4"/>
    <x v="7"/>
    <x v="1"/>
    <x v="0"/>
    <x v="1"/>
    <x v="3"/>
    <n v="0"/>
    <n v="0"/>
    <n v="1.0429999999999999"/>
    <n v="1.0429999999999999"/>
    <n v="1.0429999999999999"/>
    <n v="1.0429999999999999"/>
    <n v="0"/>
    <x v="0"/>
    <n v="0"/>
    <n v="0"/>
    <n v="34"/>
    <n v="52"/>
    <n v="0"/>
    <n v="418.93"/>
    <n v="145.38"/>
    <m/>
    <n v="515.35815853077861"/>
    <n v="140.26354224348123"/>
    <n v="0"/>
    <n v="436.94398999999999"/>
    <n v="151.63133999999999"/>
    <n v="0"/>
    <n v="537.51855934760204"/>
    <n v="146.2948745599509"/>
  </r>
  <r>
    <s v="Regular"/>
    <x v="2"/>
    <x v="1"/>
    <x v="4"/>
    <x v="7"/>
    <x v="1"/>
    <x v="0"/>
    <x v="1"/>
    <x v="4"/>
    <n v="0"/>
    <n v="0"/>
    <n v="1.181"/>
    <n v="1.181"/>
    <n v="1.181"/>
    <n v="1.181"/>
    <n v="0"/>
    <x v="0"/>
    <n v="0"/>
    <n v="0"/>
    <n v="34"/>
    <n v="52"/>
    <n v="0"/>
    <n v="418.93"/>
    <n v="145.38"/>
    <m/>
    <n v="515.35815853077861"/>
    <n v="140.26354224348123"/>
    <n v="0"/>
    <n v="494.75633000000005"/>
    <n v="171.69378"/>
    <n v="0"/>
    <n v="608.63798522484956"/>
    <n v="165.65124338955133"/>
  </r>
  <r>
    <s v="Regular"/>
    <x v="2"/>
    <x v="1"/>
    <x v="4"/>
    <x v="7"/>
    <x v="1"/>
    <x v="0"/>
    <x v="1"/>
    <x v="5"/>
    <n v="0"/>
    <n v="0"/>
    <n v="0.9"/>
    <n v="0.9"/>
    <n v="0.9"/>
    <n v="0.9"/>
    <n v="0"/>
    <x v="0"/>
    <n v="0"/>
    <n v="0"/>
    <n v="34"/>
    <n v="52"/>
    <n v="0"/>
    <n v="418.93"/>
    <n v="145.38"/>
    <m/>
    <n v="515.35815853077861"/>
    <n v="140.26354224348123"/>
    <n v="0"/>
    <n v="377.03700000000003"/>
    <n v="130.84200000000001"/>
    <n v="0"/>
    <n v="463.82234267770076"/>
    <n v="126.2371880191331"/>
  </r>
  <r>
    <s v="Regular"/>
    <x v="2"/>
    <x v="1"/>
    <x v="4"/>
    <x v="7"/>
    <x v="1"/>
    <x v="0"/>
    <x v="1"/>
    <x v="6"/>
    <n v="0"/>
    <n v="0"/>
    <n v="0.111"/>
    <n v="0.111"/>
    <n v="0.111"/>
    <n v="0.111"/>
    <n v="0"/>
    <x v="0"/>
    <n v="0"/>
    <n v="0"/>
    <n v="34"/>
    <n v="52"/>
    <n v="0"/>
    <n v="418.93"/>
    <n v="145.38"/>
    <m/>
    <n v="515.35815853077861"/>
    <n v="140.26354224348123"/>
    <n v="0"/>
    <n v="46.50123"/>
    <n v="16.137180000000001"/>
    <n v="0"/>
    <n v="57.204755596916428"/>
    <n v="15.569253189026416"/>
  </r>
  <r>
    <s v="Regular"/>
    <x v="2"/>
    <x v="1"/>
    <x v="4"/>
    <x v="7"/>
    <x v="1"/>
    <x v="0"/>
    <x v="1"/>
    <x v="7"/>
    <n v="0"/>
    <n v="0"/>
    <n v="0.1"/>
    <n v="0.1"/>
    <n v="0.1"/>
    <n v="0.1"/>
    <n v="0"/>
    <x v="0"/>
    <n v="0"/>
    <n v="0"/>
    <n v="34"/>
    <n v="52"/>
    <n v="0"/>
    <n v="418.93"/>
    <n v="145.38"/>
    <m/>
    <n v="515.35815853077861"/>
    <n v="140.26354224348123"/>
    <n v="0"/>
    <n v="41.893000000000001"/>
    <n v="14.538"/>
    <n v="0"/>
    <n v="51.535815853077864"/>
    <n v="14.026354224348124"/>
  </r>
  <r>
    <s v="Regular"/>
    <x v="2"/>
    <x v="1"/>
    <x v="4"/>
    <x v="7"/>
    <x v="2"/>
    <x v="0"/>
    <x v="1"/>
    <x v="3"/>
    <n v="0"/>
    <n v="0"/>
    <n v="0.33600000000000002"/>
    <n v="0.13439999999999999"/>
    <n v="0.33600000000000002"/>
    <n v="0.13439999999999999"/>
    <n v="0"/>
    <x v="0"/>
    <n v="0"/>
    <n v="0"/>
    <n v="32"/>
    <n v="52"/>
    <n v="0"/>
    <n v="418.93"/>
    <n v="145.38"/>
    <m/>
    <n v="515.35815853077861"/>
    <n v="140.26354224348123"/>
    <n v="0"/>
    <n v="56.304192"/>
    <n v="19.539071999999997"/>
    <n v="0"/>
    <n v="69.264136506536644"/>
    <n v="18.851420077523876"/>
  </r>
  <r>
    <s v="Regular"/>
    <x v="2"/>
    <x v="1"/>
    <x v="4"/>
    <x v="7"/>
    <x v="2"/>
    <x v="0"/>
    <x v="1"/>
    <x v="4"/>
    <n v="0"/>
    <n v="0"/>
    <n v="8.5000000000000006E-2"/>
    <n v="3.4000000000000002E-2"/>
    <n v="8.5000000000000006E-2"/>
    <n v="3.4000000000000002E-2"/>
    <n v="0"/>
    <x v="0"/>
    <n v="0"/>
    <n v="0"/>
    <n v="32"/>
    <n v="52"/>
    <n v="0"/>
    <n v="418.93"/>
    <n v="145.38"/>
    <m/>
    <n v="515.35815853077861"/>
    <n v="140.26354224348123"/>
    <n v="0"/>
    <n v="14.243620000000002"/>
    <n v="4.94292"/>
    <n v="0"/>
    <n v="17.522177390046473"/>
    <n v="4.7689604362783617"/>
  </r>
  <r>
    <s v="Regular"/>
    <x v="2"/>
    <x v="1"/>
    <x v="4"/>
    <x v="7"/>
    <x v="2"/>
    <x v="0"/>
    <x v="1"/>
    <x v="5"/>
    <n v="0"/>
    <n v="0"/>
    <n v="8.3000000000000004E-2"/>
    <n v="3.32E-2"/>
    <n v="8.3000000000000004E-2"/>
    <n v="3.32E-2"/>
    <n v="0"/>
    <x v="0"/>
    <n v="0"/>
    <n v="0"/>
    <n v="32"/>
    <n v="52"/>
    <n v="0"/>
    <n v="418.93"/>
    <n v="145.38"/>
    <m/>
    <n v="515.35815853077861"/>
    <n v="140.26354224348123"/>
    <n v="0"/>
    <n v="13.908476"/>
    <n v="4.8266159999999996"/>
    <n v="0"/>
    <n v="17.10989086322185"/>
    <n v="4.6567496024835764"/>
  </r>
  <r>
    <s v="Regular"/>
    <x v="2"/>
    <x v="1"/>
    <x v="4"/>
    <x v="8"/>
    <x v="1"/>
    <x v="0"/>
    <x v="1"/>
    <x v="0"/>
    <n v="0"/>
    <n v="0"/>
    <n v="0.10100000000000001"/>
    <n v="0.10100000000000001"/>
    <n v="0.10100000000000001"/>
    <n v="0.10100000000000001"/>
    <n v="0"/>
    <x v="0"/>
    <n v="0"/>
    <n v="0"/>
    <n v="34"/>
    <n v="52"/>
    <n v="0"/>
    <n v="418.93"/>
    <n v="145.38"/>
    <m/>
    <n v="515.35815853077861"/>
    <n v="140.26354224348123"/>
    <n v="0"/>
    <n v="42.311930000000004"/>
    <n v="14.68338"/>
    <n v="0"/>
    <n v="52.051174011608644"/>
    <n v="14.166617766591605"/>
  </r>
  <r>
    <s v="Regular"/>
    <x v="2"/>
    <x v="1"/>
    <x v="4"/>
    <x v="8"/>
    <x v="1"/>
    <x v="0"/>
    <x v="1"/>
    <x v="1"/>
    <n v="0"/>
    <n v="0"/>
    <n v="8.7999999999999995E-2"/>
    <n v="8.7999999999999995E-2"/>
    <n v="8.7999999999999995E-2"/>
    <n v="8.7999999999999995E-2"/>
    <n v="0"/>
    <x v="0"/>
    <n v="0"/>
    <n v="0"/>
    <n v="34"/>
    <n v="52"/>
    <n v="0"/>
    <n v="418.93"/>
    <n v="145.38"/>
    <m/>
    <n v="515.35815853077861"/>
    <n v="140.26354224348123"/>
    <n v="0"/>
    <n v="36.865839999999999"/>
    <n v="12.793439999999999"/>
    <n v="0"/>
    <n v="45.351517950708512"/>
    <n v="12.343191717426347"/>
  </r>
  <r>
    <s v="Regular"/>
    <x v="2"/>
    <x v="1"/>
    <x v="4"/>
    <x v="8"/>
    <x v="1"/>
    <x v="0"/>
    <x v="1"/>
    <x v="2"/>
    <n v="0"/>
    <n v="0"/>
    <n v="0.124"/>
    <n v="0.124"/>
    <n v="0.124"/>
    <n v="0.124"/>
    <n v="0"/>
    <x v="0"/>
    <n v="0"/>
    <n v="0"/>
    <n v="34"/>
    <n v="52"/>
    <n v="0"/>
    <n v="418.93"/>
    <n v="145.38"/>
    <m/>
    <n v="515.35815853077861"/>
    <n v="140.26354224348123"/>
    <n v="0"/>
    <n v="51.947319999999998"/>
    <n v="18.02712"/>
    <n v="0"/>
    <n v="63.904411657816546"/>
    <n v="17.392679238191672"/>
  </r>
  <r>
    <s v="Regular"/>
    <x v="2"/>
    <x v="1"/>
    <x v="4"/>
    <x v="8"/>
    <x v="1"/>
    <x v="0"/>
    <x v="1"/>
    <x v="3"/>
    <n v="0"/>
    <n v="0"/>
    <n v="0.498"/>
    <n v="0.498"/>
    <n v="0.498"/>
    <n v="0.498"/>
    <n v="0"/>
    <x v="0"/>
    <n v="0"/>
    <n v="0"/>
    <n v="34"/>
    <n v="52"/>
    <n v="0"/>
    <n v="418.93"/>
    <n v="145.38"/>
    <m/>
    <n v="515.35815853077861"/>
    <n v="140.26354224348123"/>
    <n v="0"/>
    <n v="208.62714"/>
    <n v="72.399239999999992"/>
    <n v="0"/>
    <n v="256.64836294832776"/>
    <n v="69.85124403725365"/>
  </r>
  <r>
    <s v="Regular"/>
    <x v="2"/>
    <x v="1"/>
    <x v="4"/>
    <x v="8"/>
    <x v="1"/>
    <x v="0"/>
    <x v="1"/>
    <x v="4"/>
    <n v="0"/>
    <n v="0"/>
    <n v="0.59199999999999997"/>
    <n v="0.59199999999999997"/>
    <n v="0.59199999999999997"/>
    <n v="0.59199999999999997"/>
    <n v="0"/>
    <x v="0"/>
    <n v="0"/>
    <n v="0"/>
    <n v="34"/>
    <n v="52"/>
    <n v="0"/>
    <n v="418.93"/>
    <n v="145.38"/>
    <m/>
    <n v="515.35815853077861"/>
    <n v="140.26354224348123"/>
    <n v="0"/>
    <n v="248.00655999999998"/>
    <n v="86.064959999999999"/>
    <n v="0"/>
    <n v="305.09202985022091"/>
    <n v="83.036017008140888"/>
  </r>
  <r>
    <s v="Regular"/>
    <x v="2"/>
    <x v="1"/>
    <x v="4"/>
    <x v="8"/>
    <x v="1"/>
    <x v="0"/>
    <x v="1"/>
    <x v="5"/>
    <n v="0"/>
    <n v="0"/>
    <n v="0.72699999999999998"/>
    <n v="0.72699999999999998"/>
    <n v="0.72699999999999998"/>
    <n v="0.72699999999999998"/>
    <n v="0"/>
    <x v="0"/>
    <n v="0"/>
    <n v="0"/>
    <n v="34"/>
    <n v="52"/>
    <n v="0"/>
    <n v="418.93"/>
    <n v="145.38"/>
    <m/>
    <n v="515.35815853077861"/>
    <n v="140.26354224348123"/>
    <n v="0"/>
    <n v="304.56211000000002"/>
    <n v="105.69126"/>
    <n v="0"/>
    <n v="374.66538125187606"/>
    <n v="101.97159521101085"/>
  </r>
  <r>
    <s v="Regular"/>
    <x v="2"/>
    <x v="1"/>
    <x v="4"/>
    <x v="8"/>
    <x v="1"/>
    <x v="0"/>
    <x v="1"/>
    <x v="6"/>
    <n v="0"/>
    <n v="0"/>
    <n v="0.96099999999999997"/>
    <n v="0.96099999999999997"/>
    <n v="0.96099999999999997"/>
    <n v="0.96099999999999997"/>
    <n v="0"/>
    <x v="0"/>
    <n v="0"/>
    <n v="0"/>
    <n v="34"/>
    <n v="52"/>
    <n v="0"/>
    <n v="418.93"/>
    <n v="145.38"/>
    <m/>
    <n v="515.35815853077861"/>
    <n v="140.26354224348123"/>
    <n v="0"/>
    <n v="402.59172999999998"/>
    <n v="139.71017999999998"/>
    <n v="0"/>
    <n v="495.25919034807822"/>
    <n v="134.79326409598545"/>
  </r>
  <r>
    <s v="Regular"/>
    <x v="2"/>
    <x v="1"/>
    <x v="4"/>
    <x v="8"/>
    <x v="1"/>
    <x v="0"/>
    <x v="1"/>
    <x v="7"/>
    <n v="0"/>
    <n v="0"/>
    <n v="0.92700000000000005"/>
    <n v="0.92700000000000005"/>
    <n v="0.92700000000000005"/>
    <n v="0.92700000000000005"/>
    <n v="0"/>
    <x v="0"/>
    <n v="0"/>
    <n v="0"/>
    <n v="34"/>
    <n v="52"/>
    <n v="0"/>
    <n v="418.93"/>
    <n v="145.38"/>
    <m/>
    <n v="515.35815853077861"/>
    <n v="140.26354224348123"/>
    <n v="0"/>
    <n v="388.34811000000002"/>
    <n v="134.76725999999999"/>
    <n v="0"/>
    <n v="477.73701295803181"/>
    <n v="130.0243036597071"/>
  </r>
  <r>
    <s v="Regular"/>
    <x v="2"/>
    <x v="1"/>
    <x v="4"/>
    <x v="8"/>
    <x v="1"/>
    <x v="0"/>
    <x v="1"/>
    <x v="8"/>
    <n v="0"/>
    <n v="0"/>
    <n v="1.026"/>
    <n v="1.026"/>
    <n v="1.026"/>
    <n v="1.026"/>
    <n v="0"/>
    <x v="0"/>
    <n v="0"/>
    <n v="0"/>
    <n v="34"/>
    <n v="52"/>
    <n v="0"/>
    <n v="418.93"/>
    <n v="145.38"/>
    <m/>
    <n v="515.35815853077861"/>
    <n v="140.26354224348123"/>
    <n v="0"/>
    <n v="429.82218"/>
    <n v="149.15987999999999"/>
    <n v="0"/>
    <n v="528.75747065257883"/>
    <n v="143.91039434181175"/>
  </r>
  <r>
    <s v="Regular"/>
    <x v="2"/>
    <x v="1"/>
    <x v="4"/>
    <x v="8"/>
    <x v="1"/>
    <x v="0"/>
    <x v="1"/>
    <x v="9"/>
    <n v="0"/>
    <n v="0"/>
    <n v="1.052"/>
    <n v="1.052"/>
    <n v="1.052"/>
    <n v="1.052"/>
    <n v="0"/>
    <x v="0"/>
    <n v="0"/>
    <n v="0"/>
    <n v="34"/>
    <n v="52"/>
    <n v="0"/>
    <n v="418.93"/>
    <n v="145.38"/>
    <m/>
    <n v="515.35815853077861"/>
    <n v="140.26354224348123"/>
    <n v="0"/>
    <n v="440.71436"/>
    <n v="152.93976000000001"/>
    <n v="0"/>
    <n v="542.15678277437917"/>
    <n v="147.55724644014225"/>
  </r>
  <r>
    <s v="Regular"/>
    <x v="2"/>
    <x v="1"/>
    <x v="4"/>
    <x v="8"/>
    <x v="1"/>
    <x v="0"/>
    <x v="1"/>
    <x v="10"/>
    <n v="0"/>
    <n v="0"/>
    <n v="0.86399999999999999"/>
    <n v="0.86399999999999999"/>
    <n v="0.86399999999999999"/>
    <n v="0.86399999999999999"/>
    <n v="0"/>
    <x v="0"/>
    <n v="0"/>
    <n v="0"/>
    <n v="34"/>
    <n v="52"/>
    <n v="0"/>
    <n v="418.93"/>
    <n v="145.38"/>
    <m/>
    <n v="515.35815853077861"/>
    <n v="140.26354224348123"/>
    <n v="0"/>
    <n v="361.95551999999998"/>
    <n v="125.60831999999999"/>
    <n v="0"/>
    <n v="445.26944897059269"/>
    <n v="121.18770049836778"/>
  </r>
  <r>
    <s v="Regular"/>
    <x v="2"/>
    <x v="1"/>
    <x v="4"/>
    <x v="8"/>
    <x v="1"/>
    <x v="0"/>
    <x v="1"/>
    <x v="11"/>
    <n v="0"/>
    <n v="0"/>
    <n v="1.3160000000000001"/>
    <n v="1.3160000000000001"/>
    <n v="1.3160000000000001"/>
    <n v="1.3160000000000001"/>
    <n v="0"/>
    <x v="0"/>
    <n v="0"/>
    <n v="0"/>
    <n v="34"/>
    <n v="52"/>
    <n v="0"/>
    <n v="418.93"/>
    <n v="145.38"/>
    <m/>
    <n v="515.35815853077861"/>
    <n v="140.26354224348123"/>
    <n v="0"/>
    <n v="551.31188000000009"/>
    <n v="191.32007999999999"/>
    <n v="0"/>
    <n v="678.2113366265047"/>
    <n v="184.5868215924213"/>
  </r>
  <r>
    <s v="Regular"/>
    <x v="2"/>
    <x v="1"/>
    <x v="4"/>
    <x v="8"/>
    <x v="2"/>
    <x v="0"/>
    <x v="1"/>
    <x v="0"/>
    <n v="0"/>
    <n v="0"/>
    <n v="0.11799999999999999"/>
    <n v="4.7199999999999999E-2"/>
    <n v="0.11799999999999999"/>
    <n v="4.7199999999999999E-2"/>
    <n v="0"/>
    <x v="0"/>
    <n v="0"/>
    <n v="0"/>
    <n v="32"/>
    <n v="52"/>
    <n v="0"/>
    <n v="418.93"/>
    <n v="145.38"/>
    <m/>
    <n v="515.35815853077861"/>
    <n v="140.26354224348123"/>
    <n v="0"/>
    <n v="19.773496000000002"/>
    <n v="6.861936"/>
    <n v="0"/>
    <n v="24.324905082652752"/>
    <n v="6.6204391938923139"/>
  </r>
  <r>
    <s v="Regular"/>
    <x v="2"/>
    <x v="1"/>
    <x v="4"/>
    <x v="8"/>
    <x v="2"/>
    <x v="0"/>
    <x v="1"/>
    <x v="1"/>
    <n v="0"/>
    <n v="0"/>
    <n v="0.114"/>
    <n v="4.5600000000000002E-2"/>
    <n v="0.114"/>
    <n v="4.5600000000000002E-2"/>
    <n v="0"/>
    <x v="0"/>
    <n v="0"/>
    <n v="0"/>
    <n v="32"/>
    <n v="52"/>
    <n v="0"/>
    <n v="418.93"/>
    <n v="145.38"/>
    <m/>
    <n v="515.35815853077861"/>
    <n v="140.26354224348123"/>
    <n v="0"/>
    <n v="19.103208000000002"/>
    <n v="6.6293280000000001"/>
    <n v="0"/>
    <n v="23.500332029003506"/>
    <n v="6.3960175263027441"/>
  </r>
  <r>
    <s v="Regular"/>
    <x v="2"/>
    <x v="1"/>
    <x v="4"/>
    <x v="8"/>
    <x v="2"/>
    <x v="0"/>
    <x v="1"/>
    <x v="2"/>
    <n v="0"/>
    <n v="0"/>
    <n v="0.16900000000000001"/>
    <n v="6.7599999999999993E-2"/>
    <n v="0.16900000000000001"/>
    <n v="6.7599999999999993E-2"/>
    <n v="0"/>
    <x v="0"/>
    <n v="0"/>
    <n v="0"/>
    <n v="32"/>
    <n v="52"/>
    <n v="0"/>
    <n v="418.93"/>
    <n v="145.38"/>
    <m/>
    <n v="515.35815853077861"/>
    <n v="140.26354224348123"/>
    <n v="0"/>
    <n v="28.319667999999997"/>
    <n v="9.8276879999999984"/>
    <n v="0"/>
    <n v="34.83821151668063"/>
    <n v="9.4818154556593299"/>
  </r>
  <r>
    <s v="Regular"/>
    <x v="2"/>
    <x v="1"/>
    <x v="4"/>
    <x v="8"/>
    <x v="2"/>
    <x v="0"/>
    <x v="1"/>
    <x v="3"/>
    <n v="0"/>
    <n v="0"/>
    <n v="0.79300000000000004"/>
    <n v="0.31719999999999998"/>
    <n v="0.79300000000000004"/>
    <n v="0.31719999999999998"/>
    <n v="0"/>
    <x v="0"/>
    <n v="0"/>
    <n v="0"/>
    <n v="32"/>
    <n v="52"/>
    <n v="0"/>
    <n v="418.93"/>
    <n v="145.38"/>
    <m/>
    <n v="515.35815853077861"/>
    <n v="140.26354224348123"/>
    <n v="0"/>
    <n v="132.88459599999999"/>
    <n v="46.114535999999994"/>
    <n v="0"/>
    <n v="163.47160788596295"/>
    <n v="44.491595599632241"/>
  </r>
  <r>
    <s v="Regular"/>
    <x v="2"/>
    <x v="1"/>
    <x v="4"/>
    <x v="8"/>
    <x v="2"/>
    <x v="0"/>
    <x v="1"/>
    <x v="4"/>
    <n v="0"/>
    <n v="0"/>
    <n v="1.845"/>
    <n v="0.73799999999999999"/>
    <n v="1.845"/>
    <n v="0.73799999999999999"/>
    <n v="0"/>
    <x v="0"/>
    <n v="0"/>
    <n v="0"/>
    <n v="32"/>
    <n v="52"/>
    <n v="0"/>
    <n v="418.93"/>
    <n v="145.38"/>
    <m/>
    <n v="515.35815853077861"/>
    <n v="140.26354224348123"/>
    <n v="0"/>
    <n v="309.17034000000001"/>
    <n v="107.29043999999999"/>
    <n v="0"/>
    <n v="380.33432099571462"/>
    <n v="103.51449417568914"/>
  </r>
  <r>
    <s v="Regular"/>
    <x v="2"/>
    <x v="1"/>
    <x v="4"/>
    <x v="8"/>
    <x v="2"/>
    <x v="0"/>
    <x v="1"/>
    <x v="5"/>
    <n v="0"/>
    <n v="0"/>
    <n v="1.7969999999999999"/>
    <n v="0.71879999999999999"/>
    <n v="1.7969999999999999"/>
    <n v="0.71879999999999999"/>
    <n v="0"/>
    <x v="0"/>
    <n v="0"/>
    <n v="0"/>
    <n v="32"/>
    <n v="52"/>
    <n v="0"/>
    <n v="418.93"/>
    <n v="145.38"/>
    <m/>
    <n v="515.35815853077861"/>
    <n v="140.26354224348123"/>
    <n v="0"/>
    <n v="301.12688400000002"/>
    <n v="104.499144"/>
    <n v="0"/>
    <n v="370.43944435192367"/>
    <n v="100.8214341646143"/>
  </r>
  <r>
    <s v="Regular"/>
    <x v="2"/>
    <x v="1"/>
    <x v="4"/>
    <x v="8"/>
    <x v="2"/>
    <x v="0"/>
    <x v="1"/>
    <x v="6"/>
    <n v="0"/>
    <n v="0"/>
    <n v="2.5939999999999999"/>
    <n v="1.0376000000000001"/>
    <n v="2.5939999999999999"/>
    <n v="1.0376000000000001"/>
    <n v="0"/>
    <x v="0"/>
    <n v="0"/>
    <n v="0"/>
    <n v="32"/>
    <n v="52"/>
    <n v="0"/>
    <n v="418.93"/>
    <n v="145.38"/>
    <m/>
    <n v="515.35815853077861"/>
    <n v="140.26354224348123"/>
    <n v="0"/>
    <n v="434.68176800000003"/>
    <n v="150.84628800000002"/>
    <n v="0"/>
    <n v="534.73562529153594"/>
    <n v="145.53745143183613"/>
  </r>
  <r>
    <s v="Regular"/>
    <x v="2"/>
    <x v="1"/>
    <x v="4"/>
    <x v="8"/>
    <x v="2"/>
    <x v="0"/>
    <x v="1"/>
    <x v="7"/>
    <n v="0"/>
    <n v="0"/>
    <n v="3.2970000000000002"/>
    <n v="1.3188"/>
    <n v="3.2970000000000002"/>
    <n v="1.3188"/>
    <n v="0"/>
    <x v="0"/>
    <n v="0"/>
    <n v="0"/>
    <n v="32"/>
    <n v="52"/>
    <n v="0"/>
    <n v="418.93"/>
    <n v="145.38"/>
    <m/>
    <n v="515.35815853077861"/>
    <n v="140.26354224348123"/>
    <n v="0"/>
    <n v="552.48488399999997"/>
    <n v="191.72714399999998"/>
    <n v="0"/>
    <n v="679.65433947039082"/>
    <n v="184.97955951070304"/>
  </r>
  <r>
    <s v="Regular"/>
    <x v="2"/>
    <x v="1"/>
    <x v="4"/>
    <x v="8"/>
    <x v="2"/>
    <x v="0"/>
    <x v="1"/>
    <x v="8"/>
    <n v="0"/>
    <n v="0"/>
    <n v="2.9510000000000001"/>
    <n v="1.1803999999999999"/>
    <n v="2.9510000000000001"/>
    <n v="1.1803999999999999"/>
    <n v="0"/>
    <x v="0"/>
    <n v="0"/>
    <n v="0"/>
    <n v="32"/>
    <n v="52"/>
    <n v="0"/>
    <n v="418.93"/>
    <n v="145.38"/>
    <m/>
    <n v="515.35815853077861"/>
    <n v="140.26354224348123"/>
    <n v="0"/>
    <n v="494.50497199999995"/>
    <n v="171.60655199999997"/>
    <n v="0"/>
    <n v="608.32877032973101"/>
    <n v="165.56708526420522"/>
  </r>
  <r>
    <s v="Regular"/>
    <x v="2"/>
    <x v="1"/>
    <x v="4"/>
    <x v="8"/>
    <x v="2"/>
    <x v="0"/>
    <x v="1"/>
    <x v="9"/>
    <n v="0"/>
    <n v="0"/>
    <n v="3.1909999999999998"/>
    <n v="1.2764"/>
    <n v="3.1909999999999998"/>
    <n v="1.2764"/>
    <n v="0"/>
    <x v="0"/>
    <n v="0"/>
    <n v="0"/>
    <n v="32"/>
    <n v="52"/>
    <n v="0"/>
    <n v="418.93"/>
    <n v="145.38"/>
    <m/>
    <n v="515.35815853077861"/>
    <n v="140.26354224348123"/>
    <n v="0"/>
    <n v="534.72225200000003"/>
    <n v="185.56303199999999"/>
    <n v="0"/>
    <n v="657.80315354868583"/>
    <n v="179.03238531957945"/>
  </r>
  <r>
    <s v="Regular"/>
    <x v="2"/>
    <x v="1"/>
    <x v="4"/>
    <x v="8"/>
    <x v="2"/>
    <x v="0"/>
    <x v="1"/>
    <x v="10"/>
    <n v="0"/>
    <n v="0"/>
    <n v="2.5390000000000001"/>
    <n v="1.0156000000000001"/>
    <n v="2.5390000000000001"/>
    <n v="1.0156000000000001"/>
    <n v="0"/>
    <x v="0"/>
    <n v="0"/>
    <n v="0"/>
    <n v="32"/>
    <n v="52"/>
    <n v="0"/>
    <n v="418.93"/>
    <n v="145.38"/>
    <m/>
    <n v="515.35815853077861"/>
    <n v="140.26354224348123"/>
    <n v="0"/>
    <n v="425.46530800000005"/>
    <n v="147.64792800000001"/>
    <n v="0"/>
    <n v="523.39774580385881"/>
    <n v="142.45165350247953"/>
  </r>
  <r>
    <s v="Regular"/>
    <x v="2"/>
    <x v="1"/>
    <x v="4"/>
    <x v="8"/>
    <x v="2"/>
    <x v="0"/>
    <x v="1"/>
    <x v="11"/>
    <n v="0"/>
    <n v="0"/>
    <n v="3.1230000000000002"/>
    <n v="1.2492000000000001"/>
    <n v="3.1230000000000002"/>
    <n v="1.2492000000000001"/>
    <n v="0"/>
    <x v="0"/>
    <n v="0"/>
    <n v="0"/>
    <n v="32"/>
    <n v="52"/>
    <n v="0"/>
    <n v="418.93"/>
    <n v="145.38"/>
    <m/>
    <n v="515.35815853077861"/>
    <n v="140.26354224348123"/>
    <n v="0"/>
    <n v="523.32735600000001"/>
    <n v="181.60869600000001"/>
    <n v="0"/>
    <n v="643.78541163664863"/>
    <n v="175.21721697055676"/>
  </r>
  <r>
    <s v="Regular"/>
    <x v="2"/>
    <x v="1"/>
    <x v="4"/>
    <x v="0"/>
    <x v="0"/>
    <x v="0"/>
    <x v="1"/>
    <x v="0"/>
    <n v="0"/>
    <n v="0"/>
    <n v="274.00599999999997"/>
    <n v="274.00599999999997"/>
    <n v="274.00599999999997"/>
    <n v="274.00599999999997"/>
    <n v="1185"/>
    <x v="0"/>
    <n v="0"/>
    <n v="0"/>
    <n v="34"/>
    <n v="52"/>
    <n v="0"/>
    <n v="418.93"/>
    <n v="145.38"/>
    <m/>
    <n v="515.35815853077861"/>
    <n v="140.26354224348123"/>
    <n v="0"/>
    <n v="114789.33357999999"/>
    <n v="39834.992279999991"/>
    <n v="0"/>
    <n v="141211.22758638451"/>
    <n v="38433.052155967314"/>
  </r>
  <r>
    <s v="Sistema de Compensação"/>
    <x v="2"/>
    <x v="1"/>
    <x v="4"/>
    <x v="0"/>
    <x v="0"/>
    <x v="0"/>
    <x v="1"/>
    <x v="0"/>
    <n v="0"/>
    <n v="0"/>
    <n v="4.5650000000000004"/>
    <n v="4.5650000000000004"/>
    <n v="4.5650000000000004"/>
    <n v="4.5650000000000004"/>
    <n v="10"/>
    <x v="0"/>
    <n v="0"/>
    <n v="0"/>
    <n v="34"/>
    <n v="52"/>
    <n v="0"/>
    <n v="418.93"/>
    <n v="145.38"/>
    <m/>
    <n v="515.35815853077861"/>
    <n v="140.26354224348123"/>
    <n v="0"/>
    <n v="1912.4154500000002"/>
    <n v="663.65970000000004"/>
    <n v="0"/>
    <n v="2352.6099936930045"/>
    <n v="640.30307034149189"/>
  </r>
  <r>
    <s v="Regular"/>
    <x v="2"/>
    <x v="1"/>
    <x v="4"/>
    <x v="0"/>
    <x v="0"/>
    <x v="0"/>
    <x v="1"/>
    <x v="1"/>
    <n v="0"/>
    <n v="0"/>
    <n v="232.971"/>
    <n v="232.971"/>
    <n v="232.971"/>
    <n v="232.971"/>
    <n v="1183"/>
    <x v="0"/>
    <n v="0"/>
    <n v="0"/>
    <n v="34"/>
    <n v="52"/>
    <n v="0"/>
    <n v="418.93"/>
    <n v="145.38"/>
    <m/>
    <n v="515.35815853077861"/>
    <n v="140.26354224348123"/>
    <n v="0"/>
    <n v="97598.541030000008"/>
    <n v="33869.323980000001"/>
    <n v="0"/>
    <n v="120063.50555107402"/>
    <n v="32677.337700006065"/>
  </r>
  <r>
    <s v="Sistema de Compensação"/>
    <x v="2"/>
    <x v="1"/>
    <x v="4"/>
    <x v="0"/>
    <x v="0"/>
    <x v="0"/>
    <x v="1"/>
    <x v="1"/>
    <n v="0"/>
    <n v="0"/>
    <n v="6.0389999999999997"/>
    <n v="6.0389999999999997"/>
    <n v="6.0389999999999997"/>
    <n v="6.0389999999999997"/>
    <n v="12"/>
    <x v="0"/>
    <n v="0"/>
    <n v="0"/>
    <n v="34"/>
    <n v="52"/>
    <n v="0"/>
    <n v="418.93"/>
    <n v="145.38"/>
    <m/>
    <n v="515.35815853077861"/>
    <n v="140.26354224348123"/>
    <n v="0"/>
    <n v="2529.9182700000001"/>
    <n v="877.94981999999993"/>
    <n v="0"/>
    <n v="3112.2479193673717"/>
    <n v="847.05153160838313"/>
  </r>
  <r>
    <s v="Regular"/>
    <x v="2"/>
    <x v="1"/>
    <x v="4"/>
    <x v="0"/>
    <x v="0"/>
    <x v="0"/>
    <x v="1"/>
    <x v="2"/>
    <n v="0"/>
    <n v="0"/>
    <n v="266.19200000000001"/>
    <n v="266.19200000000001"/>
    <n v="266.19200000000001"/>
    <n v="266.19200000000001"/>
    <n v="1188"/>
    <x v="0"/>
    <n v="0"/>
    <n v="0"/>
    <n v="34"/>
    <n v="52"/>
    <n v="0"/>
    <n v="418.93"/>
    <n v="145.38"/>
    <m/>
    <n v="515.35815853077861"/>
    <n v="140.26354224348123"/>
    <n v="0"/>
    <n v="111515.81456"/>
    <n v="38698.992960000003"/>
    <n v="0"/>
    <n v="137184.21893562502"/>
    <n v="37337.032836876759"/>
  </r>
  <r>
    <s v="Sistema de Compensação"/>
    <x v="2"/>
    <x v="1"/>
    <x v="4"/>
    <x v="0"/>
    <x v="0"/>
    <x v="0"/>
    <x v="1"/>
    <x v="2"/>
    <n v="0"/>
    <n v="0"/>
    <n v="3.8940000000000001"/>
    <n v="3.8940000000000001"/>
    <n v="3.8940000000000001"/>
    <n v="3.8940000000000001"/>
    <n v="12"/>
    <x v="0"/>
    <n v="0"/>
    <n v="0"/>
    <n v="34"/>
    <n v="52"/>
    <n v="0"/>
    <n v="418.93"/>
    <n v="145.38"/>
    <m/>
    <n v="515.35815853077861"/>
    <n v="140.26354224348123"/>
    <n v="0"/>
    <n v="1631.3134200000002"/>
    <n v="566.10972000000004"/>
    <n v="0"/>
    <n v="2006.8046693188519"/>
    <n v="546.18623349611596"/>
  </r>
  <r>
    <s v="Regular"/>
    <x v="2"/>
    <x v="1"/>
    <x v="4"/>
    <x v="0"/>
    <x v="0"/>
    <x v="0"/>
    <x v="1"/>
    <x v="3"/>
    <n v="0"/>
    <n v="0"/>
    <n v="309.351"/>
    <n v="309.351"/>
    <n v="309.351"/>
    <n v="309.351"/>
    <n v="1181"/>
    <x v="0"/>
    <n v="0"/>
    <n v="0"/>
    <n v="34"/>
    <n v="52"/>
    <n v="0"/>
    <n v="418.93"/>
    <n v="145.38"/>
    <m/>
    <n v="515.35815853077861"/>
    <n v="140.26354224348123"/>
    <n v="0"/>
    <n v="129596.41443"/>
    <n v="44973.448380000002"/>
    <n v="0"/>
    <n v="159426.56169965491"/>
    <n v="43390.667056563158"/>
  </r>
  <r>
    <s v="Sistema de Compensação"/>
    <x v="2"/>
    <x v="1"/>
    <x v="4"/>
    <x v="0"/>
    <x v="0"/>
    <x v="0"/>
    <x v="1"/>
    <x v="3"/>
    <n v="0"/>
    <n v="0"/>
    <n v="2.5529999999999999"/>
    <n v="2.5529999999999999"/>
    <n v="2.5529999999999999"/>
    <n v="2.5529999999999999"/>
    <n v="13"/>
    <x v="0"/>
    <n v="0"/>
    <n v="0"/>
    <n v="34"/>
    <n v="52"/>
    <n v="0"/>
    <n v="418.93"/>
    <n v="145.38"/>
    <m/>
    <n v="515.35815853077861"/>
    <n v="140.26354224348123"/>
    <n v="0"/>
    <n v="1069.52829"/>
    <n v="371.15513999999996"/>
    <n v="0"/>
    <n v="1315.7093787290778"/>
    <n v="358.09282334760758"/>
  </r>
  <r>
    <s v="Regular"/>
    <x v="2"/>
    <x v="1"/>
    <x v="4"/>
    <x v="0"/>
    <x v="0"/>
    <x v="0"/>
    <x v="1"/>
    <x v="4"/>
    <n v="0"/>
    <n v="0"/>
    <n v="338.16500000000002"/>
    <n v="338.16500000000002"/>
    <n v="338.16500000000002"/>
    <n v="338.16500000000002"/>
    <n v="1185"/>
    <x v="0"/>
    <n v="0"/>
    <n v="0"/>
    <n v="34"/>
    <n v="52"/>
    <n v="0"/>
    <n v="418.93"/>
    <n v="145.38"/>
    <m/>
    <n v="515.35815853077861"/>
    <n v="140.26354224348123"/>
    <n v="0"/>
    <n v="141667.46345000001"/>
    <n v="49162.4277"/>
    <n v="0"/>
    <n v="174276.09167956075"/>
    <n v="47432.220762766832"/>
  </r>
  <r>
    <s v="Sistema de Compensação"/>
    <x v="2"/>
    <x v="1"/>
    <x v="4"/>
    <x v="0"/>
    <x v="0"/>
    <x v="0"/>
    <x v="1"/>
    <x v="4"/>
    <n v="0"/>
    <n v="0"/>
    <n v="1.798"/>
    <n v="1.798"/>
    <n v="1.798"/>
    <n v="1.798"/>
    <n v="13"/>
    <x v="0"/>
    <n v="0"/>
    <n v="0"/>
    <n v="34"/>
    <n v="52"/>
    <n v="0"/>
    <n v="418.93"/>
    <n v="145.38"/>
    <m/>
    <n v="515.35815853077861"/>
    <n v="140.26354224348123"/>
    <n v="0"/>
    <n v="753.23613999999998"/>
    <n v="261.39323999999999"/>
    <n v="0"/>
    <n v="926.61396903833997"/>
    <n v="252.19384895377925"/>
  </r>
  <r>
    <s v="Regular"/>
    <x v="2"/>
    <x v="1"/>
    <x v="4"/>
    <x v="0"/>
    <x v="0"/>
    <x v="0"/>
    <x v="1"/>
    <x v="5"/>
    <n v="0"/>
    <n v="0"/>
    <n v="270.61399999999998"/>
    <n v="270.61399999999998"/>
    <n v="270.61399999999998"/>
    <n v="270.61399999999998"/>
    <n v="1166"/>
    <x v="0"/>
    <n v="0"/>
    <n v="0"/>
    <n v="34"/>
    <n v="52"/>
    <n v="0"/>
    <n v="418.93"/>
    <n v="145.38"/>
    <m/>
    <n v="515.35815853077861"/>
    <n v="140.26354224348123"/>
    <n v="0"/>
    <n v="113368.32302"/>
    <n v="39341.863319999997"/>
    <n v="0"/>
    <n v="139463.1327126481"/>
    <n v="37957.278220677428"/>
  </r>
  <r>
    <s v="Refaturamento - Regular"/>
    <x v="2"/>
    <x v="1"/>
    <x v="4"/>
    <x v="0"/>
    <x v="0"/>
    <x v="0"/>
    <x v="1"/>
    <x v="5"/>
    <n v="0"/>
    <n v="0"/>
    <n v="-6.0999999999999999E-2"/>
    <n v="-6.0999999999999999E-2"/>
    <n v="-6.0999999999999999E-2"/>
    <n v="-6.0999999999999999E-2"/>
    <n v="0"/>
    <x v="0"/>
    <n v="0"/>
    <n v="0"/>
    <n v="34"/>
    <n v="52"/>
    <n v="0"/>
    <n v="418.93"/>
    <n v="145.38"/>
    <m/>
    <n v="515.35815853077861"/>
    <n v="140.26354224348123"/>
    <n v="0"/>
    <n v="-25.554729999999999"/>
    <n v="-8.8681799999999988"/>
    <n v="0"/>
    <n v="-31.436847670377496"/>
    <n v="-8.5560760768523547"/>
  </r>
  <r>
    <s v="Sistema de Compensação"/>
    <x v="2"/>
    <x v="1"/>
    <x v="4"/>
    <x v="0"/>
    <x v="0"/>
    <x v="0"/>
    <x v="1"/>
    <x v="5"/>
    <n v="0"/>
    <n v="0"/>
    <n v="7.5090000000000003"/>
    <n v="7.5090000000000003"/>
    <n v="7.5090000000000003"/>
    <n v="7.5090000000000003"/>
    <n v="16"/>
    <x v="0"/>
    <n v="0"/>
    <n v="0"/>
    <n v="34"/>
    <n v="52"/>
    <n v="0"/>
    <n v="418.93"/>
    <n v="145.38"/>
    <m/>
    <n v="515.35815853077861"/>
    <n v="140.26354224348123"/>
    <n v="0"/>
    <n v="3145.7453700000001"/>
    <n v="1091.65842"/>
    <n v="0"/>
    <n v="3869.8244124076168"/>
    <n v="1053.2389387063006"/>
  </r>
  <r>
    <s v="Regular"/>
    <x v="2"/>
    <x v="1"/>
    <x v="4"/>
    <x v="0"/>
    <x v="0"/>
    <x v="0"/>
    <x v="1"/>
    <x v="6"/>
    <n v="0"/>
    <n v="0"/>
    <n v="262.28100000000001"/>
    <n v="262.28100000000001"/>
    <n v="262.28100000000001"/>
    <n v="262.28100000000001"/>
    <n v="1156"/>
    <x v="0"/>
    <n v="0"/>
    <n v="0"/>
    <n v="34"/>
    <n v="52"/>
    <n v="0"/>
    <n v="418.93"/>
    <n v="145.38"/>
    <m/>
    <n v="515.35815853077861"/>
    <n v="140.26354224348123"/>
    <n v="0"/>
    <n v="109877.37933000001"/>
    <n v="38130.411780000002"/>
    <n v="0"/>
    <n v="135168.65317761115"/>
    <n v="36788.462123162499"/>
  </r>
  <r>
    <s v="Sistema de Compensação"/>
    <x v="2"/>
    <x v="1"/>
    <x v="4"/>
    <x v="0"/>
    <x v="0"/>
    <x v="0"/>
    <x v="1"/>
    <x v="6"/>
    <n v="0"/>
    <n v="0"/>
    <n v="8.1289999999999996"/>
    <n v="8.1289999999999996"/>
    <n v="8.1289999999999996"/>
    <n v="8.1289999999999996"/>
    <n v="20"/>
    <x v="0"/>
    <n v="0"/>
    <n v="0"/>
    <n v="34"/>
    <n v="52"/>
    <n v="0"/>
    <n v="418.93"/>
    <n v="145.38"/>
    <m/>
    <n v="515.35815853077861"/>
    <n v="140.26354224348123"/>
    <n v="0"/>
    <n v="3405.4819699999998"/>
    <n v="1181.7940199999998"/>
    <n v="0"/>
    <n v="4189.3464706966988"/>
    <n v="1140.2023348972589"/>
  </r>
  <r>
    <s v="Regular"/>
    <x v="2"/>
    <x v="1"/>
    <x v="4"/>
    <x v="0"/>
    <x v="0"/>
    <x v="0"/>
    <x v="1"/>
    <x v="7"/>
    <n v="0"/>
    <n v="0"/>
    <n v="253.72900000000001"/>
    <n v="253.72900000000001"/>
    <n v="253.72900000000001"/>
    <n v="253.72900000000001"/>
    <n v="1150"/>
    <x v="0"/>
    <n v="0"/>
    <n v="0"/>
    <n v="34"/>
    <n v="52"/>
    <n v="0"/>
    <n v="418.93"/>
    <n v="145.38"/>
    <m/>
    <n v="515.35815853077861"/>
    <n v="140.26354224348123"/>
    <n v="0"/>
    <n v="106294.68997000001"/>
    <n v="36887.122020000003"/>
    <n v="0"/>
    <n v="130761.31020585593"/>
    <n v="35588.928309896248"/>
  </r>
  <r>
    <s v="Sistema de Compensação"/>
    <x v="2"/>
    <x v="1"/>
    <x v="4"/>
    <x v="0"/>
    <x v="0"/>
    <x v="0"/>
    <x v="1"/>
    <x v="7"/>
    <n v="0"/>
    <n v="0"/>
    <n v="11.025"/>
    <n v="11.025"/>
    <n v="11.025"/>
    <n v="11.025"/>
    <n v="20"/>
    <x v="0"/>
    <n v="0"/>
    <n v="0"/>
    <n v="34"/>
    <n v="52"/>
    <n v="0"/>
    <n v="418.93"/>
    <n v="145.38"/>
    <m/>
    <n v="515.35815853077861"/>
    <n v="140.26354224348123"/>
    <n v="0"/>
    <n v="4618.7032500000005"/>
    <n v="1602.8145"/>
    <n v="0"/>
    <n v="5681.823697801834"/>
    <n v="1546.4055532343805"/>
  </r>
  <r>
    <s v="Regular"/>
    <x v="2"/>
    <x v="1"/>
    <x v="4"/>
    <x v="0"/>
    <x v="0"/>
    <x v="0"/>
    <x v="1"/>
    <x v="8"/>
    <n v="0"/>
    <n v="0"/>
    <n v="227.773"/>
    <n v="227.773"/>
    <n v="227.773"/>
    <n v="227.773"/>
    <n v="1141"/>
    <x v="0"/>
    <n v="0"/>
    <n v="0"/>
    <n v="34"/>
    <n v="52"/>
    <n v="0"/>
    <n v="418.93"/>
    <n v="145.38"/>
    <m/>
    <n v="515.35815853077861"/>
    <n v="140.26354224348123"/>
    <n v="0"/>
    <n v="95420.942890000006"/>
    <n v="33113.638739999995"/>
    <n v="0"/>
    <n v="117384.67384303104"/>
    <n v="31948.24780742445"/>
  </r>
  <r>
    <s v="Refaturamento - Regular"/>
    <x v="2"/>
    <x v="1"/>
    <x v="4"/>
    <x v="0"/>
    <x v="0"/>
    <x v="0"/>
    <x v="1"/>
    <x v="8"/>
    <n v="0"/>
    <n v="0"/>
    <n v="-2.93"/>
    <n v="-2.93"/>
    <n v="-2.93"/>
    <n v="-2.93"/>
    <n v="0"/>
    <x v="0"/>
    <n v="0"/>
    <n v="0"/>
    <n v="34"/>
    <n v="52"/>
    <n v="0"/>
    <n v="418.93"/>
    <n v="145.38"/>
    <m/>
    <n v="515.35815853077861"/>
    <n v="140.26354224348123"/>
    <n v="0"/>
    <n v="-1227.4649000000002"/>
    <n v="-425.96340000000004"/>
    <n v="0"/>
    <n v="-1509.9994044951814"/>
    <n v="-410.9721787734"/>
  </r>
  <r>
    <s v="Sistema de Compensação"/>
    <x v="2"/>
    <x v="1"/>
    <x v="4"/>
    <x v="0"/>
    <x v="0"/>
    <x v="0"/>
    <x v="1"/>
    <x v="8"/>
    <n v="0"/>
    <n v="0"/>
    <n v="12.616"/>
    <n v="12.616"/>
    <n v="12.616"/>
    <n v="12.616"/>
    <n v="20"/>
    <x v="0"/>
    <n v="0"/>
    <n v="0"/>
    <n v="34"/>
    <n v="52"/>
    <n v="0"/>
    <n v="418.93"/>
    <n v="145.38"/>
    <m/>
    <n v="515.35815853077861"/>
    <n v="140.26354224348123"/>
    <n v="0"/>
    <n v="5285.2208799999999"/>
    <n v="1834.1140799999998"/>
    <n v="0"/>
    <n v="6501.7585280243029"/>
    <n v="1769.564848943759"/>
  </r>
  <r>
    <s v="Regular"/>
    <x v="2"/>
    <x v="1"/>
    <x v="4"/>
    <x v="0"/>
    <x v="0"/>
    <x v="0"/>
    <x v="1"/>
    <x v="9"/>
    <n v="0"/>
    <n v="0"/>
    <n v="249.512"/>
    <n v="249.512"/>
    <n v="249.512"/>
    <n v="249.512"/>
    <n v="1141"/>
    <x v="0"/>
    <n v="0"/>
    <n v="0"/>
    <n v="34"/>
    <n v="52"/>
    <n v="0"/>
    <n v="418.93"/>
    <n v="145.38"/>
    <m/>
    <n v="515.35815853077861"/>
    <n v="140.26354224348123"/>
    <n v="0"/>
    <n v="104528.06216"/>
    <n v="36274.054559999997"/>
    <n v="0"/>
    <n v="128588.04485133164"/>
    <n v="34997.436952255484"/>
  </r>
  <r>
    <s v="Sistema de Compensação"/>
    <x v="2"/>
    <x v="1"/>
    <x v="4"/>
    <x v="0"/>
    <x v="0"/>
    <x v="0"/>
    <x v="1"/>
    <x v="9"/>
    <n v="0"/>
    <n v="0"/>
    <n v="25.966000000000001"/>
    <n v="25.966000000000001"/>
    <n v="25.966000000000001"/>
    <n v="25.966000000000001"/>
    <n v="22"/>
    <x v="0"/>
    <n v="0"/>
    <n v="0"/>
    <n v="34"/>
    <n v="52"/>
    <n v="0"/>
    <n v="418.93"/>
    <n v="145.38"/>
    <m/>
    <n v="515.35815853077861"/>
    <n v="140.26354224348123"/>
    <n v="0"/>
    <n v="10877.936380000001"/>
    <n v="3774.9370800000002"/>
    <n v="0"/>
    <n v="13381.789944410199"/>
    <n v="3642.0831378942335"/>
  </r>
  <r>
    <s v="Regular"/>
    <x v="2"/>
    <x v="1"/>
    <x v="4"/>
    <x v="0"/>
    <x v="0"/>
    <x v="0"/>
    <x v="1"/>
    <x v="10"/>
    <n v="0"/>
    <n v="0"/>
    <n v="213.47"/>
    <n v="213.47"/>
    <n v="213.47"/>
    <n v="213.47"/>
    <n v="1135"/>
    <x v="0"/>
    <n v="0"/>
    <n v="0"/>
    <n v="34"/>
    <n v="52"/>
    <n v="0"/>
    <n v="418.93"/>
    <n v="145.38"/>
    <m/>
    <n v="515.35815853077861"/>
    <n v="140.26354224348123"/>
    <n v="0"/>
    <n v="89428.987099999998"/>
    <n v="31034.268599999999"/>
    <n v="0"/>
    <n v="110013.5061015653"/>
    <n v="29942.058362715936"/>
  </r>
  <r>
    <s v="Sistema de Compensação"/>
    <x v="2"/>
    <x v="1"/>
    <x v="4"/>
    <x v="0"/>
    <x v="0"/>
    <x v="0"/>
    <x v="1"/>
    <x v="10"/>
    <n v="0"/>
    <n v="0"/>
    <n v="16.984000000000002"/>
    <n v="16.984000000000002"/>
    <n v="16.984000000000002"/>
    <n v="16.984000000000002"/>
    <n v="20"/>
    <x v="0"/>
    <n v="0"/>
    <n v="0"/>
    <n v="34"/>
    <n v="52"/>
    <n v="0"/>
    <n v="418.93"/>
    <n v="145.38"/>
    <m/>
    <n v="515.35815853077861"/>
    <n v="140.26354224348123"/>
    <n v="0"/>
    <n v="7115.1071200000006"/>
    <n v="2469.1339200000002"/>
    <n v="0"/>
    <n v="8752.8429644867447"/>
    <n v="2382.2360014632854"/>
  </r>
  <r>
    <s v="Regular"/>
    <x v="2"/>
    <x v="1"/>
    <x v="4"/>
    <x v="0"/>
    <x v="0"/>
    <x v="0"/>
    <x v="1"/>
    <x v="11"/>
    <n v="0"/>
    <n v="0"/>
    <n v="236.98099999999999"/>
    <n v="236.98099999999999"/>
    <n v="236.98099999999999"/>
    <n v="236.98099999999999"/>
    <n v="1125"/>
    <x v="0"/>
    <n v="0"/>
    <n v="0"/>
    <n v="34"/>
    <n v="52"/>
    <n v="0"/>
    <n v="418.93"/>
    <n v="145.38"/>
    <m/>
    <n v="515.35815853077861"/>
    <n v="140.26354224348123"/>
    <n v="0"/>
    <n v="99278.450329999992"/>
    <n v="34452.297780000001"/>
    <n v="0"/>
    <n v="122130.09176678244"/>
    <n v="33239.794504402424"/>
  </r>
  <r>
    <s v="Sistema de Compensação"/>
    <x v="2"/>
    <x v="1"/>
    <x v="4"/>
    <x v="0"/>
    <x v="0"/>
    <x v="0"/>
    <x v="1"/>
    <x v="11"/>
    <n v="0"/>
    <n v="0"/>
    <n v="15.641999999999999"/>
    <n v="15.641999999999999"/>
    <n v="15.641999999999999"/>
    <n v="15.641999999999999"/>
    <n v="21"/>
    <x v="0"/>
    <n v="0"/>
    <n v="0"/>
    <n v="34"/>
    <n v="52"/>
    <n v="0"/>
    <n v="418.93"/>
    <n v="145.38"/>
    <m/>
    <n v="515.35815853077861"/>
    <n v="140.26354224348123"/>
    <n v="0"/>
    <n v="6552.9030599999996"/>
    <n v="2274.0339599999998"/>
    <n v="0"/>
    <n v="8061.232315738439"/>
    <n v="2194.0023277725331"/>
  </r>
  <r>
    <s v="Regular"/>
    <x v="3"/>
    <x v="1"/>
    <x v="0"/>
    <x v="0"/>
    <x v="0"/>
    <x v="0"/>
    <x v="1"/>
    <x v="0"/>
    <n v="0"/>
    <n v="0"/>
    <n v="218.88900000000001"/>
    <n v="218.88900000000001"/>
    <n v="218.88900000000001"/>
    <n v="218.88900000000001"/>
    <n v="519"/>
    <x v="0"/>
    <n v="0"/>
    <n v="0"/>
    <n v="50"/>
    <n v="83"/>
    <n v="0"/>
    <n v="476.06"/>
    <n v="165.21"/>
    <m/>
    <n v="548.25336013912624"/>
    <n v="149.21653430157579"/>
    <n v="0"/>
    <n v="104204.29734"/>
    <n v="36162.651690000006"/>
    <n v="0"/>
    <n v="120006.62974749321"/>
    <n v="32661.857976737625"/>
  </r>
  <r>
    <s v="Sistema de Compensação"/>
    <x v="3"/>
    <x v="1"/>
    <x v="0"/>
    <x v="0"/>
    <x v="0"/>
    <x v="0"/>
    <x v="1"/>
    <x v="0"/>
    <n v="0"/>
    <n v="0"/>
    <n v="9.6929999999999996"/>
    <n v="9.6929999999999996"/>
    <n v="9.6929999999999996"/>
    <n v="9.6929999999999996"/>
    <n v="33"/>
    <x v="0"/>
    <n v="0"/>
    <n v="0"/>
    <n v="50"/>
    <n v="83"/>
    <n v="0"/>
    <n v="476.06"/>
    <n v="165.21"/>
    <m/>
    <n v="548.25336013912624"/>
    <n v="149.21653430157579"/>
    <n v="0"/>
    <n v="4614.4495799999995"/>
    <n v="1601.3805299999999"/>
    <n v="0"/>
    <n v="5314.2198198285505"/>
    <n v="1446.3558669851741"/>
  </r>
  <r>
    <s v="Regular"/>
    <x v="3"/>
    <x v="1"/>
    <x v="0"/>
    <x v="0"/>
    <x v="0"/>
    <x v="0"/>
    <x v="1"/>
    <x v="1"/>
    <n v="0"/>
    <n v="0"/>
    <n v="191.14500000000001"/>
    <n v="191.14500000000001"/>
    <n v="191.14500000000001"/>
    <n v="191.14500000000001"/>
    <n v="518"/>
    <x v="0"/>
    <n v="0"/>
    <n v="0"/>
    <n v="50"/>
    <n v="83"/>
    <n v="0"/>
    <n v="476.06"/>
    <n v="165.21"/>
    <m/>
    <n v="548.25336013912624"/>
    <n v="149.21653430157579"/>
    <n v="0"/>
    <n v="90996.488700000002"/>
    <n v="31579.065450000002"/>
    <n v="0"/>
    <n v="104795.88852379328"/>
    <n v="28521.994449074708"/>
  </r>
  <r>
    <s v="Refaturamento - Regular"/>
    <x v="3"/>
    <x v="1"/>
    <x v="0"/>
    <x v="0"/>
    <x v="0"/>
    <x v="0"/>
    <x v="1"/>
    <x v="1"/>
    <n v="0"/>
    <n v="0"/>
    <n v="-0.02"/>
    <n v="-0.02"/>
    <n v="-0.02"/>
    <n v="-0.02"/>
    <n v="0"/>
    <x v="0"/>
    <n v="0"/>
    <n v="0"/>
    <n v="50"/>
    <n v="83"/>
    <n v="0"/>
    <n v="476.06"/>
    <n v="165.21"/>
    <m/>
    <n v="548.25336013912624"/>
    <n v="149.21653430157579"/>
    <n v="0"/>
    <n v="-9.5212000000000003"/>
    <n v="-3.3042000000000002"/>
    <n v="0"/>
    <n v="-10.965067202782524"/>
    <n v="-2.984330686031516"/>
  </r>
  <r>
    <s v="Sistema de Compensação"/>
    <x v="3"/>
    <x v="1"/>
    <x v="0"/>
    <x v="0"/>
    <x v="0"/>
    <x v="0"/>
    <x v="1"/>
    <x v="1"/>
    <n v="0"/>
    <n v="0"/>
    <n v="10.465"/>
    <n v="10.465"/>
    <n v="10.465"/>
    <n v="10.465"/>
    <n v="36"/>
    <x v="0"/>
    <n v="0"/>
    <n v="0"/>
    <n v="50"/>
    <n v="83"/>
    <n v="0"/>
    <n v="476.06"/>
    <n v="165.21"/>
    <m/>
    <n v="548.25336013912624"/>
    <n v="149.21653430157579"/>
    <n v="0"/>
    <n v="4981.9678999999996"/>
    <n v="1728.92265"/>
    <n v="0"/>
    <n v="5737.4714138559557"/>
    <n v="1561.5510314659907"/>
  </r>
  <r>
    <s v="Regular"/>
    <x v="3"/>
    <x v="1"/>
    <x v="0"/>
    <x v="0"/>
    <x v="0"/>
    <x v="0"/>
    <x v="1"/>
    <x v="2"/>
    <n v="0"/>
    <n v="0"/>
    <n v="231.369"/>
    <n v="231.369"/>
    <n v="231.369"/>
    <n v="231.369"/>
    <n v="522"/>
    <x v="0"/>
    <n v="0"/>
    <n v="0"/>
    <n v="50"/>
    <n v="83"/>
    <n v="0"/>
    <n v="476.06"/>
    <n v="165.21"/>
    <m/>
    <n v="548.25336013912624"/>
    <n v="149.21653430157579"/>
    <n v="0"/>
    <n v="110145.52614"/>
    <n v="38224.47249"/>
    <n v="0"/>
    <n v="126848.8316820295"/>
    <n v="34524.080324821291"/>
  </r>
  <r>
    <s v="Sistema de Compensação"/>
    <x v="3"/>
    <x v="1"/>
    <x v="0"/>
    <x v="0"/>
    <x v="0"/>
    <x v="0"/>
    <x v="1"/>
    <x v="2"/>
    <n v="0"/>
    <n v="0"/>
    <n v="8.2639999999999993"/>
    <n v="8.2639999999999993"/>
    <n v="8.2639999999999993"/>
    <n v="8.2639999999999993"/>
    <n v="37"/>
    <x v="0"/>
    <n v="0"/>
    <n v="0"/>
    <n v="50"/>
    <n v="83"/>
    <n v="0"/>
    <n v="476.06"/>
    <n v="165.21"/>
    <m/>
    <n v="548.25336013912624"/>
    <n v="149.21653430157579"/>
    <n v="0"/>
    <n v="3934.1598399999998"/>
    <n v="1365.2954399999999"/>
    <n v="0"/>
    <n v="4530.765768189739"/>
    <n v="1233.1254394682223"/>
  </r>
  <r>
    <s v="Regular"/>
    <x v="3"/>
    <x v="1"/>
    <x v="0"/>
    <x v="0"/>
    <x v="0"/>
    <x v="0"/>
    <x v="1"/>
    <x v="3"/>
    <n v="0"/>
    <n v="0"/>
    <n v="290.31"/>
    <n v="290.31"/>
    <n v="290.31"/>
    <n v="290.31"/>
    <n v="524"/>
    <x v="0"/>
    <n v="0"/>
    <n v="0"/>
    <n v="50"/>
    <n v="83"/>
    <n v="0"/>
    <n v="476.06"/>
    <n v="165.21"/>
    <m/>
    <n v="548.25336013912624"/>
    <n v="149.21653430157579"/>
    <n v="0"/>
    <n v="138204.9786"/>
    <n v="47962.115100000003"/>
    <n v="0"/>
    <n v="159163.43298198975"/>
    <n v="43319.052073090468"/>
  </r>
  <r>
    <s v="Sistema de Compensação"/>
    <x v="3"/>
    <x v="1"/>
    <x v="0"/>
    <x v="0"/>
    <x v="0"/>
    <x v="0"/>
    <x v="1"/>
    <x v="3"/>
    <n v="0"/>
    <n v="0"/>
    <n v="9.4090000000000007"/>
    <n v="9.4090000000000007"/>
    <n v="9.4090000000000007"/>
    <n v="9.4090000000000007"/>
    <n v="39"/>
    <x v="0"/>
    <n v="0"/>
    <n v="0"/>
    <n v="50"/>
    <n v="83"/>
    <n v="0"/>
    <n v="476.06"/>
    <n v="165.21"/>
    <m/>
    <n v="548.25336013912624"/>
    <n v="149.21653430157579"/>
    <n v="0"/>
    <n v="4479.2485400000005"/>
    <n v="1554.4608900000003"/>
    <n v="0"/>
    <n v="5158.5158655490395"/>
    <n v="1403.9783712435267"/>
  </r>
  <r>
    <s v="Regular"/>
    <x v="3"/>
    <x v="1"/>
    <x v="0"/>
    <x v="0"/>
    <x v="0"/>
    <x v="0"/>
    <x v="1"/>
    <x v="4"/>
    <n v="0"/>
    <n v="0"/>
    <n v="294.79700000000003"/>
    <n v="294.79700000000003"/>
    <n v="294.79700000000003"/>
    <n v="294.79700000000003"/>
    <n v="519"/>
    <x v="0"/>
    <n v="0"/>
    <n v="0"/>
    <n v="50"/>
    <n v="83"/>
    <n v="0"/>
    <n v="476.06"/>
    <n v="165.21"/>
    <m/>
    <n v="548.25336013912624"/>
    <n v="149.21653430157579"/>
    <n v="0"/>
    <n v="140341.05982000002"/>
    <n v="48703.412370000005"/>
    <n v="0"/>
    <n v="161623.44580893402"/>
    <n v="43988.586662501642"/>
  </r>
  <r>
    <s v="Sistema de Compensação"/>
    <x v="3"/>
    <x v="1"/>
    <x v="0"/>
    <x v="0"/>
    <x v="0"/>
    <x v="0"/>
    <x v="1"/>
    <x v="4"/>
    <n v="0"/>
    <n v="0"/>
    <n v="8.2870000000000008"/>
    <n v="8.2870000000000008"/>
    <n v="8.2870000000000008"/>
    <n v="8.2870000000000008"/>
    <n v="40"/>
    <x v="0"/>
    <n v="0"/>
    <n v="0"/>
    <n v="50"/>
    <n v="83"/>
    <n v="0"/>
    <n v="476.06"/>
    <n v="165.21"/>
    <m/>
    <n v="548.25336013912624"/>
    <n v="149.21653430157579"/>
    <n v="0"/>
    <n v="3945.1092200000003"/>
    <n v="1369.0952700000003"/>
    <n v="0"/>
    <n v="4543.3755954729395"/>
    <n v="1236.5574197571586"/>
  </r>
  <r>
    <s v="Regular"/>
    <x v="3"/>
    <x v="1"/>
    <x v="0"/>
    <x v="0"/>
    <x v="0"/>
    <x v="0"/>
    <x v="1"/>
    <x v="5"/>
    <n v="0"/>
    <n v="0"/>
    <n v="271.11700000000002"/>
    <n v="271.11700000000002"/>
    <n v="271.11700000000002"/>
    <n v="271.11700000000002"/>
    <n v="523"/>
    <x v="0"/>
    <n v="0"/>
    <n v="0"/>
    <n v="50"/>
    <n v="83"/>
    <n v="0"/>
    <n v="476.06"/>
    <n v="165.21"/>
    <m/>
    <n v="548.25336013912624"/>
    <n v="149.21653430157579"/>
    <n v="0"/>
    <n v="129067.95902000001"/>
    <n v="44791.239570000005"/>
    <n v="0"/>
    <n v="148640.80624083951"/>
    <n v="40455.139130240328"/>
  </r>
  <r>
    <s v="Sistema de Compensação"/>
    <x v="3"/>
    <x v="1"/>
    <x v="0"/>
    <x v="0"/>
    <x v="0"/>
    <x v="0"/>
    <x v="1"/>
    <x v="5"/>
    <n v="0"/>
    <n v="0"/>
    <n v="9.3249999999999993"/>
    <n v="9.3249999999999993"/>
    <n v="9.3249999999999993"/>
    <n v="9.3249999999999993"/>
    <n v="39"/>
    <x v="0"/>
    <n v="0"/>
    <n v="0"/>
    <n v="50"/>
    <n v="83"/>
    <n v="0"/>
    <n v="476.06"/>
    <n v="165.21"/>
    <m/>
    <n v="548.25336013912624"/>
    <n v="149.21653430157579"/>
    <n v="0"/>
    <n v="4439.2595000000001"/>
    <n v="1540.5832499999999"/>
    <n v="0"/>
    <n v="5112.4625832973516"/>
    <n v="1391.4441823621942"/>
  </r>
  <r>
    <s v="Regular"/>
    <x v="3"/>
    <x v="1"/>
    <x v="0"/>
    <x v="0"/>
    <x v="0"/>
    <x v="0"/>
    <x v="1"/>
    <x v="6"/>
    <n v="0"/>
    <n v="0"/>
    <n v="270.36900000000003"/>
    <n v="270.36900000000003"/>
    <n v="270.36900000000003"/>
    <n v="270.36900000000003"/>
    <n v="528"/>
    <x v="0"/>
    <n v="0"/>
    <n v="0"/>
    <n v="50"/>
    <n v="83"/>
    <n v="0"/>
    <n v="476.06"/>
    <n v="165.21"/>
    <m/>
    <n v="548.25336013912624"/>
    <n v="149.21653430157579"/>
    <n v="0"/>
    <n v="128711.86614000001"/>
    <n v="44667.66249000001"/>
    <n v="0"/>
    <n v="148230.71272745545"/>
    <n v="40343.525162582751"/>
  </r>
  <r>
    <s v="Sistema de Compensação"/>
    <x v="3"/>
    <x v="1"/>
    <x v="0"/>
    <x v="0"/>
    <x v="0"/>
    <x v="0"/>
    <x v="1"/>
    <x v="6"/>
    <n v="0"/>
    <n v="0"/>
    <n v="13.425000000000001"/>
    <n v="13.425000000000001"/>
    <n v="13.425000000000001"/>
    <n v="13.425000000000001"/>
    <n v="39"/>
    <x v="0"/>
    <n v="0"/>
    <n v="0"/>
    <n v="50"/>
    <n v="83"/>
    <n v="0"/>
    <n v="476.06"/>
    <n v="165.21"/>
    <m/>
    <n v="548.25336013912624"/>
    <n v="149.21653430157579"/>
    <n v="0"/>
    <n v="6391.1055000000006"/>
    <n v="2217.94425"/>
    <n v="0"/>
    <n v="7360.3013598677699"/>
    <n v="2003.231972998655"/>
  </r>
  <r>
    <s v="Regular"/>
    <x v="3"/>
    <x v="1"/>
    <x v="0"/>
    <x v="0"/>
    <x v="0"/>
    <x v="0"/>
    <x v="1"/>
    <x v="7"/>
    <n v="0"/>
    <n v="0"/>
    <n v="243.37"/>
    <n v="243.37"/>
    <n v="243.37"/>
    <n v="243.37"/>
    <n v="529"/>
    <x v="0"/>
    <n v="0"/>
    <n v="0"/>
    <n v="50"/>
    <n v="83"/>
    <n v="0"/>
    <n v="476.06"/>
    <n v="165.21"/>
    <m/>
    <n v="548.25336013912624"/>
    <n v="149.21653430157579"/>
    <n v="0"/>
    <n v="115858.7222"/>
    <n v="40207.157700000003"/>
    <n v="0"/>
    <n v="133428.42025705916"/>
    <n v="36314.827952974498"/>
  </r>
  <r>
    <s v="Sistema de Compensação"/>
    <x v="3"/>
    <x v="1"/>
    <x v="0"/>
    <x v="0"/>
    <x v="0"/>
    <x v="0"/>
    <x v="1"/>
    <x v="7"/>
    <n v="0"/>
    <n v="0"/>
    <n v="8.1370000000000005"/>
    <n v="8.1370000000000005"/>
    <n v="8.1370000000000005"/>
    <n v="8.1370000000000005"/>
    <n v="38"/>
    <x v="0"/>
    <n v="0"/>
    <n v="0"/>
    <n v="50"/>
    <n v="83"/>
    <n v="0"/>
    <n v="476.06"/>
    <n v="165.21"/>
    <m/>
    <n v="548.25336013912624"/>
    <n v="149.21653430157579"/>
    <n v="0"/>
    <n v="3873.7002200000002"/>
    <n v="1344.3137700000002"/>
    <n v="0"/>
    <n v="4461.1375914520704"/>
    <n v="1214.1749396119224"/>
  </r>
  <r>
    <s v="Regular"/>
    <x v="3"/>
    <x v="1"/>
    <x v="0"/>
    <x v="0"/>
    <x v="0"/>
    <x v="0"/>
    <x v="1"/>
    <x v="8"/>
    <n v="0"/>
    <n v="0"/>
    <n v="222.07400000000001"/>
    <n v="222.07400000000001"/>
    <n v="222.07400000000001"/>
    <n v="222.07400000000001"/>
    <n v="530"/>
    <x v="0"/>
    <n v="0"/>
    <n v="0"/>
    <n v="50"/>
    <n v="83"/>
    <n v="0"/>
    <n v="476.06"/>
    <n v="165.21"/>
    <m/>
    <n v="548.25336013912624"/>
    <n v="149.21653430157579"/>
    <n v="0"/>
    <n v="105720.54844000001"/>
    <n v="36688.845540000002"/>
    <n v="0"/>
    <n v="121752.81669953633"/>
    <n v="33137.112638488143"/>
  </r>
  <r>
    <s v="Sistema de Compensação"/>
    <x v="3"/>
    <x v="1"/>
    <x v="0"/>
    <x v="0"/>
    <x v="0"/>
    <x v="0"/>
    <x v="1"/>
    <x v="8"/>
    <n v="0"/>
    <n v="0"/>
    <n v="10.545999999999999"/>
    <n v="10.545999999999999"/>
    <n v="10.545999999999999"/>
    <n v="10.545999999999999"/>
    <n v="39"/>
    <x v="0"/>
    <n v="0"/>
    <n v="0"/>
    <n v="50"/>
    <n v="83"/>
    <n v="0"/>
    <n v="476.06"/>
    <n v="165.21"/>
    <m/>
    <n v="548.25336013912624"/>
    <n v="149.21653430157579"/>
    <n v="0"/>
    <n v="5020.5287600000001"/>
    <n v="1742.30466"/>
    <n v="0"/>
    <n v="5781.8799360272251"/>
    <n v="1573.6375707444181"/>
  </r>
  <r>
    <s v="Regular"/>
    <x v="3"/>
    <x v="1"/>
    <x v="0"/>
    <x v="0"/>
    <x v="0"/>
    <x v="0"/>
    <x v="1"/>
    <x v="9"/>
    <n v="0"/>
    <n v="0"/>
    <n v="217.953"/>
    <n v="217.953"/>
    <n v="217.953"/>
    <n v="217.953"/>
    <n v="532"/>
    <x v="0"/>
    <n v="0"/>
    <n v="0"/>
    <n v="50"/>
    <n v="83"/>
    <n v="0"/>
    <n v="476.06"/>
    <n v="165.21"/>
    <m/>
    <n v="548.25336013912624"/>
    <n v="149.21653430157579"/>
    <n v="0"/>
    <n v="103758.70518"/>
    <n v="36008.01513"/>
    <n v="0"/>
    <n v="119493.46460240298"/>
    <n v="32522.191300631348"/>
  </r>
  <r>
    <s v="Sistema de Compensação"/>
    <x v="3"/>
    <x v="1"/>
    <x v="0"/>
    <x v="0"/>
    <x v="0"/>
    <x v="0"/>
    <x v="1"/>
    <x v="9"/>
    <n v="0"/>
    <n v="0"/>
    <n v="16.420000000000002"/>
    <n v="16.420000000000002"/>
    <n v="16.420000000000002"/>
    <n v="16.420000000000002"/>
    <n v="42"/>
    <x v="0"/>
    <n v="0"/>
    <n v="0"/>
    <n v="50"/>
    <n v="83"/>
    <n v="0"/>
    <n v="476.06"/>
    <n v="165.21"/>
    <m/>
    <n v="548.25336013912624"/>
    <n v="149.21653430157579"/>
    <n v="0"/>
    <n v="7816.9052000000011"/>
    <n v="2712.7482000000005"/>
    <n v="0"/>
    <n v="9002.3201734844533"/>
    <n v="2450.1354932318745"/>
  </r>
  <r>
    <s v="Regular"/>
    <x v="3"/>
    <x v="1"/>
    <x v="0"/>
    <x v="0"/>
    <x v="0"/>
    <x v="0"/>
    <x v="1"/>
    <x v="10"/>
    <n v="0"/>
    <n v="0"/>
    <n v="209.321"/>
    <n v="209.321"/>
    <n v="209.321"/>
    <n v="209.321"/>
    <n v="540"/>
    <x v="0"/>
    <n v="0"/>
    <n v="0"/>
    <n v="50"/>
    <n v="83"/>
    <n v="0"/>
    <n v="476.06"/>
    <n v="165.21"/>
    <m/>
    <n v="548.25336013912624"/>
    <n v="149.21653430157579"/>
    <n v="0"/>
    <n v="99649.355259999997"/>
    <n v="34581.922409999999"/>
    <n v="0"/>
    <n v="114760.94159768205"/>
    <n v="31234.154176540145"/>
  </r>
  <r>
    <s v="Sistema de Compensação"/>
    <x v="3"/>
    <x v="1"/>
    <x v="0"/>
    <x v="0"/>
    <x v="0"/>
    <x v="0"/>
    <x v="1"/>
    <x v="10"/>
    <n v="0"/>
    <n v="0"/>
    <n v="12.760999999999999"/>
    <n v="12.760999999999999"/>
    <n v="12.760999999999999"/>
    <n v="12.760999999999999"/>
    <n v="37"/>
    <x v="0"/>
    <n v="0"/>
    <n v="0"/>
    <n v="50"/>
    <n v="83"/>
    <n v="0"/>
    <n v="476.06"/>
    <n v="165.21"/>
    <m/>
    <n v="548.25336013912624"/>
    <n v="149.21653430157579"/>
    <n v="0"/>
    <n v="6075.0016599999999"/>
    <n v="2108.2448100000001"/>
    <n v="0"/>
    <n v="6996.2611287353893"/>
    <n v="1904.1521942224085"/>
  </r>
  <r>
    <s v="Regular"/>
    <x v="3"/>
    <x v="1"/>
    <x v="0"/>
    <x v="0"/>
    <x v="0"/>
    <x v="0"/>
    <x v="1"/>
    <x v="11"/>
    <n v="0"/>
    <n v="0"/>
    <n v="211.303"/>
    <n v="211.303"/>
    <n v="211.303"/>
    <n v="211.303"/>
    <n v="525"/>
    <x v="0"/>
    <n v="0"/>
    <n v="0"/>
    <n v="50"/>
    <n v="83"/>
    <n v="0"/>
    <n v="476.06"/>
    <n v="165.21"/>
    <m/>
    <n v="548.25336013912624"/>
    <n v="149.21653430157579"/>
    <n v="0"/>
    <n v="100592.90618000001"/>
    <n v="34909.368630000004"/>
    <n v="0"/>
    <n v="115847.5797574778"/>
    <n v="31529.901347525869"/>
  </r>
  <r>
    <s v="Sistema de Compensação"/>
    <x v="3"/>
    <x v="1"/>
    <x v="0"/>
    <x v="0"/>
    <x v="0"/>
    <x v="0"/>
    <x v="1"/>
    <x v="11"/>
    <n v="0"/>
    <n v="0"/>
    <n v="12.114000000000001"/>
    <n v="12.114000000000001"/>
    <n v="12.114000000000001"/>
    <n v="12.114000000000001"/>
    <n v="46"/>
    <x v="0"/>
    <n v="0"/>
    <n v="0"/>
    <n v="50"/>
    <n v="83"/>
    <n v="0"/>
    <n v="476.06"/>
    <n v="165.21"/>
    <m/>
    <n v="548.25336013912624"/>
    <n v="149.21653430157579"/>
    <n v="0"/>
    <n v="5766.9908400000004"/>
    <n v="2001.3539400000002"/>
    <n v="0"/>
    <n v="6641.5412047253758"/>
    <n v="1807.6090965292892"/>
  </r>
  <r>
    <s v="Regular"/>
    <x v="3"/>
    <x v="1"/>
    <x v="5"/>
    <x v="0"/>
    <x v="0"/>
    <x v="0"/>
    <x v="1"/>
    <x v="0"/>
    <n v="0"/>
    <n v="0"/>
    <n v="2.0099999999999998"/>
    <n v="2.0099999999999998"/>
    <n v="2.0099999999999998"/>
    <n v="2.0099999999999998"/>
    <n v="1"/>
    <x v="0"/>
    <n v="0"/>
    <n v="0"/>
    <n v="50"/>
    <n v="83"/>
    <n v="0"/>
    <n v="476.06"/>
    <n v="165.21"/>
    <m/>
    <n v="548.25336013912624"/>
    <n v="149.21653430157579"/>
    <n v="0"/>
    <n v="956.88059999999996"/>
    <n v="332.07209999999998"/>
    <n v="0"/>
    <n v="1101.9892538796437"/>
    <n v="299.92523394616728"/>
  </r>
  <r>
    <s v="Regular"/>
    <x v="3"/>
    <x v="1"/>
    <x v="5"/>
    <x v="0"/>
    <x v="0"/>
    <x v="0"/>
    <x v="1"/>
    <x v="1"/>
    <n v="0"/>
    <n v="0"/>
    <n v="1.756"/>
    <n v="1.756"/>
    <n v="1.756"/>
    <n v="1.756"/>
    <n v="1"/>
    <x v="0"/>
    <n v="0"/>
    <n v="0"/>
    <n v="50"/>
    <n v="83"/>
    <n v="0"/>
    <n v="476.06"/>
    <n v="165.21"/>
    <m/>
    <n v="548.25336013912624"/>
    <n v="149.21653430157579"/>
    <n v="0"/>
    <n v="835.96136000000001"/>
    <n v="290.10876000000002"/>
    <n v="0"/>
    <n v="962.73290040430572"/>
    <n v="262.02423423356709"/>
  </r>
  <r>
    <s v="Regular"/>
    <x v="3"/>
    <x v="1"/>
    <x v="5"/>
    <x v="0"/>
    <x v="0"/>
    <x v="0"/>
    <x v="1"/>
    <x v="2"/>
    <n v="0"/>
    <n v="0"/>
    <n v="2.3650000000000002"/>
    <n v="2.3650000000000002"/>
    <n v="2.3650000000000002"/>
    <n v="2.3650000000000002"/>
    <n v="1"/>
    <x v="0"/>
    <n v="0"/>
    <n v="0"/>
    <n v="50"/>
    <n v="83"/>
    <n v="0"/>
    <n v="476.06"/>
    <n v="165.21"/>
    <m/>
    <n v="548.25336013912624"/>
    <n v="149.21653430157579"/>
    <n v="0"/>
    <n v="1125.8819000000001"/>
    <n v="390.72165000000007"/>
    <n v="0"/>
    <n v="1296.6191967290338"/>
    <n v="352.89710362322677"/>
  </r>
  <r>
    <s v="Regular"/>
    <x v="3"/>
    <x v="1"/>
    <x v="5"/>
    <x v="0"/>
    <x v="0"/>
    <x v="0"/>
    <x v="1"/>
    <x v="3"/>
    <n v="0"/>
    <n v="0"/>
    <n v="3.2789999999999999"/>
    <n v="3.2789999999999999"/>
    <n v="3.2789999999999999"/>
    <n v="3.2789999999999999"/>
    <n v="1"/>
    <x v="0"/>
    <n v="0"/>
    <n v="0"/>
    <n v="50"/>
    <n v="83"/>
    <n v="0"/>
    <n v="476.06"/>
    <n v="165.21"/>
    <m/>
    <n v="548.25336013912624"/>
    <n v="149.21653430157579"/>
    <n v="0"/>
    <n v="1561.00074"/>
    <n v="541.72359000000006"/>
    <n v="0"/>
    <n v="1797.7227678961949"/>
    <n v="489.28101597486699"/>
  </r>
  <r>
    <s v="Regular"/>
    <x v="3"/>
    <x v="1"/>
    <x v="5"/>
    <x v="0"/>
    <x v="0"/>
    <x v="0"/>
    <x v="1"/>
    <x v="4"/>
    <n v="0"/>
    <n v="0"/>
    <n v="3.6179999999999999"/>
    <n v="3.6179999999999999"/>
    <n v="3.6179999999999999"/>
    <n v="3.6179999999999999"/>
    <n v="1"/>
    <x v="0"/>
    <n v="0"/>
    <n v="0"/>
    <n v="50"/>
    <n v="83"/>
    <n v="0"/>
    <n v="476.06"/>
    <n v="165.21"/>
    <m/>
    <n v="548.25336013912624"/>
    <n v="149.21653430157579"/>
    <n v="0"/>
    <n v="1722.38508"/>
    <n v="597.72978000000001"/>
    <n v="0"/>
    <n v="1983.5806569833587"/>
    <n v="539.8654211031012"/>
  </r>
  <r>
    <s v="Regular"/>
    <x v="3"/>
    <x v="1"/>
    <x v="5"/>
    <x v="0"/>
    <x v="0"/>
    <x v="0"/>
    <x v="1"/>
    <x v="5"/>
    <n v="0"/>
    <n v="0"/>
    <n v="3.5920000000000001"/>
    <n v="3.5920000000000001"/>
    <n v="3.5920000000000001"/>
    <n v="3.5920000000000001"/>
    <n v="1"/>
    <x v="0"/>
    <n v="0"/>
    <n v="0"/>
    <n v="50"/>
    <n v="83"/>
    <n v="0"/>
    <n v="476.06"/>
    <n v="165.21"/>
    <m/>
    <n v="548.25336013912624"/>
    <n v="149.21653430157579"/>
    <n v="0"/>
    <n v="1710.0075200000001"/>
    <n v="593.43432000000007"/>
    <n v="0"/>
    <n v="1969.3260696197415"/>
    <n v="535.98579121126022"/>
  </r>
  <r>
    <s v="Regular"/>
    <x v="3"/>
    <x v="1"/>
    <x v="5"/>
    <x v="0"/>
    <x v="0"/>
    <x v="0"/>
    <x v="1"/>
    <x v="6"/>
    <n v="0"/>
    <n v="0"/>
    <n v="3.01"/>
    <n v="3.01"/>
    <n v="3.01"/>
    <n v="3.01"/>
    <n v="1"/>
    <x v="0"/>
    <n v="0"/>
    <n v="0"/>
    <n v="50"/>
    <n v="83"/>
    <n v="0"/>
    <n v="476.06"/>
    <n v="165.21"/>
    <m/>
    <n v="548.25336013912624"/>
    <n v="149.21653430157579"/>
    <n v="0"/>
    <n v="1432.9405999999999"/>
    <n v="497.28210000000001"/>
    <n v="0"/>
    <n v="1650.2426140187699"/>
    <n v="449.14176824774307"/>
  </r>
  <r>
    <s v="Regular"/>
    <x v="3"/>
    <x v="1"/>
    <x v="5"/>
    <x v="0"/>
    <x v="0"/>
    <x v="0"/>
    <x v="1"/>
    <x v="7"/>
    <n v="0"/>
    <n v="0"/>
    <n v="2.379"/>
    <n v="2.379"/>
    <n v="2.379"/>
    <n v="2.379"/>
    <n v="1"/>
    <x v="0"/>
    <n v="0"/>
    <n v="0"/>
    <n v="50"/>
    <n v="83"/>
    <n v="0"/>
    <n v="476.06"/>
    <n v="165.21"/>
    <m/>
    <n v="548.25336013912624"/>
    <n v="149.21653430157579"/>
    <n v="0"/>
    <n v="1132.54674"/>
    <n v="393.03459000000004"/>
    <n v="0"/>
    <n v="1304.2947437709813"/>
    <n v="354.98613510344882"/>
  </r>
  <r>
    <s v="Regular"/>
    <x v="3"/>
    <x v="1"/>
    <x v="5"/>
    <x v="0"/>
    <x v="0"/>
    <x v="0"/>
    <x v="1"/>
    <x v="8"/>
    <n v="0"/>
    <n v="0"/>
    <n v="2.044"/>
    <n v="2.044"/>
    <n v="2.044"/>
    <n v="2.044"/>
    <n v="1"/>
    <x v="0"/>
    <n v="0"/>
    <n v="0"/>
    <n v="50"/>
    <n v="83"/>
    <n v="0"/>
    <n v="476.06"/>
    <n v="165.21"/>
    <m/>
    <n v="548.25336013912624"/>
    <n v="149.21653430157579"/>
    <n v="0"/>
    <n v="973.06664000000001"/>
    <n v="337.68924000000004"/>
    <n v="0"/>
    <n v="1120.6298681243741"/>
    <n v="304.9985961124209"/>
  </r>
  <r>
    <s v="Regular"/>
    <x v="3"/>
    <x v="1"/>
    <x v="5"/>
    <x v="0"/>
    <x v="0"/>
    <x v="0"/>
    <x v="1"/>
    <x v="9"/>
    <n v="0"/>
    <n v="0"/>
    <n v="2.254"/>
    <n v="2.254"/>
    <n v="2.254"/>
    <n v="2.254"/>
    <n v="1"/>
    <x v="0"/>
    <n v="0"/>
    <n v="0"/>
    <n v="50"/>
    <n v="83"/>
    <n v="0"/>
    <n v="476.06"/>
    <n v="165.21"/>
    <m/>
    <n v="548.25336013912624"/>
    <n v="149.21653430157579"/>
    <n v="0"/>
    <n v="1073.0392400000001"/>
    <n v="372.38334000000003"/>
    <n v="0"/>
    <n v="1235.7630737535906"/>
    <n v="336.33406831575184"/>
  </r>
  <r>
    <s v="Regular"/>
    <x v="3"/>
    <x v="1"/>
    <x v="5"/>
    <x v="0"/>
    <x v="0"/>
    <x v="0"/>
    <x v="1"/>
    <x v="10"/>
    <n v="0"/>
    <n v="0"/>
    <n v="2.3170000000000002"/>
    <n v="2.3170000000000002"/>
    <n v="2.3170000000000002"/>
    <n v="2.3170000000000002"/>
    <n v="1"/>
    <x v="0"/>
    <n v="0"/>
    <n v="0"/>
    <n v="50"/>
    <n v="83"/>
    <n v="0"/>
    <n v="476.06"/>
    <n v="165.21"/>
    <m/>
    <n v="548.25336013912624"/>
    <n v="149.21653430157579"/>
    <n v="0"/>
    <n v="1103.0310200000001"/>
    <n v="382.79157000000004"/>
    <n v="0"/>
    <n v="1270.3030354423556"/>
    <n v="345.73470997675111"/>
  </r>
  <r>
    <s v="Regular"/>
    <x v="3"/>
    <x v="1"/>
    <x v="5"/>
    <x v="0"/>
    <x v="0"/>
    <x v="0"/>
    <x v="1"/>
    <x v="11"/>
    <n v="0"/>
    <n v="0"/>
    <n v="1.976"/>
    <n v="1.976"/>
    <n v="1.976"/>
    <n v="1.976"/>
    <n v="1"/>
    <x v="0"/>
    <n v="0"/>
    <n v="0"/>
    <n v="50"/>
    <n v="83"/>
    <n v="0"/>
    <n v="476.06"/>
    <n v="165.21"/>
    <m/>
    <n v="548.25336013912624"/>
    <n v="149.21653430157579"/>
    <n v="0"/>
    <n v="940.69456000000002"/>
    <n v="326.45496000000003"/>
    <n v="0"/>
    <n v="1083.3486396349135"/>
    <n v="294.85187177991378"/>
  </r>
  <r>
    <s v="Regular"/>
    <x v="3"/>
    <x v="1"/>
    <x v="1"/>
    <x v="0"/>
    <x v="0"/>
    <x v="0"/>
    <x v="1"/>
    <x v="0"/>
    <n v="0"/>
    <n v="0"/>
    <n v="67.537999999999997"/>
    <n v="67.537999999999997"/>
    <n v="67.537999999999997"/>
    <n v="67.537999999999997"/>
    <n v="60"/>
    <x v="0"/>
    <n v="0"/>
    <n v="0"/>
    <n v="50"/>
    <n v="83"/>
    <n v="0"/>
    <n v="476.06"/>
    <n v="165.21"/>
    <m/>
    <n v="548.25336013912624"/>
    <n v="149.21653430157579"/>
    <n v="0"/>
    <n v="32152.14028"/>
    <n v="11157.95298"/>
    <n v="0"/>
    <n v="37027.935437076303"/>
    <n v="10077.786293659825"/>
  </r>
  <r>
    <s v="Sistema de Compensação"/>
    <x v="3"/>
    <x v="1"/>
    <x v="1"/>
    <x v="0"/>
    <x v="0"/>
    <x v="0"/>
    <x v="1"/>
    <x v="0"/>
    <n v="0"/>
    <n v="0"/>
    <n v="49.024000000000001"/>
    <n v="49.024000000000001"/>
    <n v="49.024000000000001"/>
    <n v="49.024000000000001"/>
    <n v="8"/>
    <x v="0"/>
    <n v="0"/>
    <n v="0"/>
    <n v="50"/>
    <n v="83"/>
    <n v="0"/>
    <n v="476.06"/>
    <n v="165.21"/>
    <m/>
    <n v="548.25336013912624"/>
    <n v="149.21653430157579"/>
    <n v="0"/>
    <n v="23338.365440000001"/>
    <n v="8099.2550400000009"/>
    <n v="0"/>
    <n v="26877.572727460527"/>
    <n v="7315.1913776004521"/>
  </r>
  <r>
    <s v="Regular"/>
    <x v="3"/>
    <x v="1"/>
    <x v="1"/>
    <x v="0"/>
    <x v="0"/>
    <x v="0"/>
    <x v="1"/>
    <x v="1"/>
    <n v="0"/>
    <n v="0"/>
    <n v="58.487000000000002"/>
    <n v="58.487000000000002"/>
    <n v="58.487000000000002"/>
    <n v="58.487000000000002"/>
    <n v="59"/>
    <x v="0"/>
    <n v="0"/>
    <n v="0"/>
    <n v="50"/>
    <n v="83"/>
    <n v="0"/>
    <n v="476.06"/>
    <n v="165.21"/>
    <m/>
    <n v="548.25336013912624"/>
    <n v="149.21653430157579"/>
    <n v="0"/>
    <n v="27843.321220000002"/>
    <n v="9662.6372700000011"/>
    <n v="0"/>
    <n v="32065.694274457077"/>
    <n v="8727.2274416962628"/>
  </r>
  <r>
    <s v="Sistema de Compensação"/>
    <x v="3"/>
    <x v="1"/>
    <x v="1"/>
    <x v="0"/>
    <x v="0"/>
    <x v="0"/>
    <x v="1"/>
    <x v="1"/>
    <n v="0"/>
    <n v="0"/>
    <n v="39.283000000000001"/>
    <n v="39.283000000000001"/>
    <n v="39.283000000000001"/>
    <n v="39.283000000000001"/>
    <n v="9"/>
    <x v="0"/>
    <n v="0"/>
    <n v="0"/>
    <n v="50"/>
    <n v="83"/>
    <n v="0"/>
    <n v="476.06"/>
    <n v="165.21"/>
    <m/>
    <n v="548.25336013912624"/>
    <n v="149.21653430157579"/>
    <n v="0"/>
    <n v="18701.064979999999"/>
    <n v="6489.9444300000005"/>
    <n v="0"/>
    <n v="21537.036746345297"/>
    <n v="5861.6731169688019"/>
  </r>
  <r>
    <s v="Regular"/>
    <x v="3"/>
    <x v="1"/>
    <x v="1"/>
    <x v="0"/>
    <x v="0"/>
    <x v="0"/>
    <x v="1"/>
    <x v="2"/>
    <n v="0"/>
    <n v="0"/>
    <n v="64.322000000000003"/>
    <n v="64.322000000000003"/>
    <n v="64.322000000000003"/>
    <n v="64.322000000000003"/>
    <n v="57"/>
    <x v="0"/>
    <n v="0"/>
    <n v="0"/>
    <n v="50"/>
    <n v="83"/>
    <n v="0"/>
    <n v="476.06"/>
    <n v="165.21"/>
    <m/>
    <n v="548.25336013912624"/>
    <n v="149.21653430157579"/>
    <n v="0"/>
    <n v="30621.13132"/>
    <n v="10626.637620000001"/>
    <n v="0"/>
    <n v="35264.752630868883"/>
    <n v="9597.905919345958"/>
  </r>
  <r>
    <s v="Sistema de Compensação"/>
    <x v="3"/>
    <x v="1"/>
    <x v="1"/>
    <x v="0"/>
    <x v="0"/>
    <x v="0"/>
    <x v="1"/>
    <x v="2"/>
    <n v="0"/>
    <n v="0"/>
    <n v="27.760999999999999"/>
    <n v="27.760999999999999"/>
    <n v="27.760999999999999"/>
    <n v="27.760999999999999"/>
    <n v="11"/>
    <x v="0"/>
    <n v="0"/>
    <n v="0"/>
    <n v="50"/>
    <n v="83"/>
    <n v="0"/>
    <n v="476.06"/>
    <n v="165.21"/>
    <m/>
    <n v="548.25336013912624"/>
    <n v="149.21653430157579"/>
    <n v="0"/>
    <n v="13215.90166"/>
    <n v="4586.3948099999998"/>
    <n v="0"/>
    <n v="15220.061530822284"/>
    <n v="4142.4002087460458"/>
  </r>
  <r>
    <s v="Regular"/>
    <x v="3"/>
    <x v="1"/>
    <x v="1"/>
    <x v="0"/>
    <x v="0"/>
    <x v="0"/>
    <x v="1"/>
    <x v="3"/>
    <n v="0"/>
    <n v="0"/>
    <n v="65.789000000000001"/>
    <n v="65.789000000000001"/>
    <n v="65.789000000000001"/>
    <n v="65.789000000000001"/>
    <n v="57"/>
    <x v="0"/>
    <n v="0"/>
    <n v="0"/>
    <n v="50"/>
    <n v="83"/>
    <n v="0"/>
    <n v="476.06"/>
    <n v="165.21"/>
    <m/>
    <n v="548.25336013912624"/>
    <n v="149.21653430157579"/>
    <n v="0"/>
    <n v="31319.511340000001"/>
    <n v="10869.000690000001"/>
    <n v="0"/>
    <n v="36069.040310192977"/>
    <n v="9816.8065751663707"/>
  </r>
  <r>
    <s v="Sistema de Compensação"/>
    <x v="3"/>
    <x v="1"/>
    <x v="1"/>
    <x v="0"/>
    <x v="0"/>
    <x v="0"/>
    <x v="1"/>
    <x v="3"/>
    <n v="0"/>
    <n v="0"/>
    <n v="21.628"/>
    <n v="21.628"/>
    <n v="21.628"/>
    <n v="21.628"/>
    <n v="11"/>
    <x v="0"/>
    <n v="0"/>
    <n v="0"/>
    <n v="50"/>
    <n v="83"/>
    <n v="0"/>
    <n v="476.06"/>
    <n v="165.21"/>
    <m/>
    <n v="548.25336013912624"/>
    <n v="149.21653430157579"/>
    <n v="0"/>
    <n v="10296.22568"/>
    <n v="3573.1618800000001"/>
    <n v="0"/>
    <n v="11857.623673089023"/>
    <n v="3227.2552038744811"/>
  </r>
  <r>
    <s v="Regular"/>
    <x v="3"/>
    <x v="1"/>
    <x v="1"/>
    <x v="0"/>
    <x v="0"/>
    <x v="0"/>
    <x v="1"/>
    <x v="4"/>
    <n v="0"/>
    <n v="0"/>
    <n v="63.960999999999999"/>
    <n v="63.960999999999999"/>
    <n v="63.960999999999999"/>
    <n v="63.960999999999999"/>
    <n v="57"/>
    <x v="0"/>
    <n v="0"/>
    <n v="0"/>
    <n v="50"/>
    <n v="83"/>
    <n v="0"/>
    <n v="476.06"/>
    <n v="165.21"/>
    <m/>
    <n v="548.25336013912624"/>
    <n v="149.21653430157579"/>
    <n v="0"/>
    <n v="30449.273659999999"/>
    <n v="10566.996810000001"/>
    <n v="0"/>
    <n v="35066.833167858655"/>
    <n v="9544.0387504630889"/>
  </r>
  <r>
    <s v="Sistema de Compensação"/>
    <x v="3"/>
    <x v="1"/>
    <x v="1"/>
    <x v="0"/>
    <x v="0"/>
    <x v="0"/>
    <x v="1"/>
    <x v="4"/>
    <n v="0"/>
    <n v="0"/>
    <n v="2.7559999999999998"/>
    <n v="2.7559999999999998"/>
    <n v="2.7559999999999998"/>
    <n v="2.7559999999999998"/>
    <n v="11"/>
    <x v="0"/>
    <n v="0"/>
    <n v="0"/>
    <n v="50"/>
    <n v="83"/>
    <n v="0"/>
    <n v="476.06"/>
    <n v="165.21"/>
    <m/>
    <n v="548.25336013912624"/>
    <n v="149.21653430157579"/>
    <n v="0"/>
    <n v="1312.02136"/>
    <n v="455.31876"/>
    <n v="0"/>
    <n v="1510.9862605434319"/>
    <n v="411.24076853514282"/>
  </r>
  <r>
    <s v="Regular"/>
    <x v="3"/>
    <x v="1"/>
    <x v="1"/>
    <x v="0"/>
    <x v="0"/>
    <x v="0"/>
    <x v="1"/>
    <x v="5"/>
    <n v="0"/>
    <n v="0"/>
    <n v="72.070999999999998"/>
    <n v="72.070999999999998"/>
    <n v="72.070999999999998"/>
    <n v="72.070999999999998"/>
    <n v="56"/>
    <x v="0"/>
    <n v="0"/>
    <n v="0"/>
    <n v="50"/>
    <n v="83"/>
    <n v="0"/>
    <n v="476.06"/>
    <n v="165.21"/>
    <m/>
    <n v="548.25336013912624"/>
    <n v="149.21653430157579"/>
    <n v="0"/>
    <n v="34310.120259999996"/>
    <n v="11906.849910000001"/>
    <n v="0"/>
    <n v="39513.167918586965"/>
    <n v="10754.184843648869"/>
  </r>
  <r>
    <s v="Sistema de Compensação"/>
    <x v="3"/>
    <x v="1"/>
    <x v="1"/>
    <x v="0"/>
    <x v="0"/>
    <x v="0"/>
    <x v="1"/>
    <x v="5"/>
    <n v="0"/>
    <n v="0"/>
    <n v="43.009"/>
    <n v="43.009"/>
    <n v="43.009"/>
    <n v="43.009"/>
    <n v="11"/>
    <x v="0"/>
    <n v="0"/>
    <n v="0"/>
    <n v="50"/>
    <n v="83"/>
    <n v="0"/>
    <n v="476.06"/>
    <n v="165.21"/>
    <m/>
    <n v="548.25336013912624"/>
    <n v="149.21653430157579"/>
    <n v="0"/>
    <n v="20474.864539999999"/>
    <n v="7105.5168900000008"/>
    <n v="0"/>
    <n v="23579.82876622368"/>
    <n v="6417.6539237764737"/>
  </r>
  <r>
    <s v="Regular"/>
    <x v="3"/>
    <x v="1"/>
    <x v="1"/>
    <x v="0"/>
    <x v="0"/>
    <x v="0"/>
    <x v="1"/>
    <x v="6"/>
    <n v="0"/>
    <n v="0"/>
    <n v="62.691000000000003"/>
    <n v="62.691000000000003"/>
    <n v="62.691000000000003"/>
    <n v="62.691000000000003"/>
    <n v="54"/>
    <x v="0"/>
    <n v="0"/>
    <n v="0"/>
    <n v="50"/>
    <n v="83"/>
    <n v="0"/>
    <n v="476.06"/>
    <n v="165.21"/>
    <m/>
    <n v="548.25336013912624"/>
    <n v="149.21653430157579"/>
    <n v="0"/>
    <n v="29844.677460000003"/>
    <n v="10357.180110000001"/>
    <n v="0"/>
    <n v="34370.551400481963"/>
    <n v="9354.5337519000877"/>
  </r>
  <r>
    <s v="Sistema de Compensação"/>
    <x v="3"/>
    <x v="1"/>
    <x v="1"/>
    <x v="0"/>
    <x v="0"/>
    <x v="0"/>
    <x v="1"/>
    <x v="6"/>
    <n v="0"/>
    <n v="0"/>
    <n v="39.142000000000003"/>
    <n v="39.142000000000003"/>
    <n v="39.142000000000003"/>
    <n v="39.142000000000003"/>
    <n v="13"/>
    <x v="0"/>
    <n v="0"/>
    <n v="0"/>
    <n v="50"/>
    <n v="83"/>
    <n v="0"/>
    <n v="476.06"/>
    <n v="165.21"/>
    <m/>
    <n v="548.25336013912624"/>
    <n v="149.21653430157579"/>
    <n v="0"/>
    <n v="18633.94052"/>
    <n v="6466.6498200000005"/>
    <n v="0"/>
    <n v="21459.733022565681"/>
    <n v="5840.6335856322803"/>
  </r>
  <r>
    <s v="Regular"/>
    <x v="3"/>
    <x v="1"/>
    <x v="1"/>
    <x v="0"/>
    <x v="0"/>
    <x v="0"/>
    <x v="1"/>
    <x v="7"/>
    <n v="0"/>
    <n v="0"/>
    <n v="56.44"/>
    <n v="56.44"/>
    <n v="56.44"/>
    <n v="56.44"/>
    <n v="54"/>
    <x v="0"/>
    <n v="0"/>
    <n v="0"/>
    <n v="50"/>
    <n v="83"/>
    <n v="0"/>
    <n v="476.06"/>
    <n v="165.21"/>
    <m/>
    <n v="548.25336013912624"/>
    <n v="149.21653430157579"/>
    <n v="0"/>
    <n v="26868.826399999998"/>
    <n v="9324.4524000000001"/>
    <n v="0"/>
    <n v="30943.419646252285"/>
    <n v="8421.7811959809369"/>
  </r>
  <r>
    <s v="Sistema de Compensação"/>
    <x v="3"/>
    <x v="1"/>
    <x v="1"/>
    <x v="0"/>
    <x v="0"/>
    <x v="0"/>
    <x v="1"/>
    <x v="7"/>
    <n v="0"/>
    <n v="0"/>
    <n v="29.501999999999999"/>
    <n v="29.501999999999999"/>
    <n v="29.501999999999999"/>
    <n v="29.501999999999999"/>
    <n v="13"/>
    <x v="0"/>
    <n v="0"/>
    <n v="0"/>
    <n v="50"/>
    <n v="83"/>
    <n v="0"/>
    <n v="476.06"/>
    <n v="165.21"/>
    <m/>
    <n v="548.25336013912624"/>
    <n v="149.21653430157579"/>
    <n v="0"/>
    <n v="14044.72212"/>
    <n v="4874.0254199999999"/>
    <n v="0"/>
    <n v="16174.570630824503"/>
    <n v="4402.1861949650893"/>
  </r>
  <r>
    <s v="Regular"/>
    <x v="3"/>
    <x v="1"/>
    <x v="1"/>
    <x v="0"/>
    <x v="0"/>
    <x v="0"/>
    <x v="1"/>
    <x v="8"/>
    <n v="0"/>
    <n v="0"/>
    <n v="58.268999999999998"/>
    <n v="58.268999999999998"/>
    <n v="58.268999999999998"/>
    <n v="58.268999999999998"/>
    <n v="55"/>
    <x v="0"/>
    <n v="0"/>
    <n v="0"/>
    <n v="50"/>
    <n v="83"/>
    <n v="0"/>
    <n v="476.06"/>
    <n v="165.21"/>
    <m/>
    <n v="548.25336013912624"/>
    <n v="149.21653430157579"/>
    <n v="0"/>
    <n v="27739.540140000001"/>
    <n v="9626.6214899999995"/>
    <n v="0"/>
    <n v="31946.175041946746"/>
    <n v="8694.6982372185194"/>
  </r>
  <r>
    <s v="Sistema de Compensação"/>
    <x v="3"/>
    <x v="1"/>
    <x v="1"/>
    <x v="0"/>
    <x v="0"/>
    <x v="0"/>
    <x v="1"/>
    <x v="8"/>
    <n v="0"/>
    <n v="0"/>
    <n v="32.993000000000002"/>
    <n v="32.993000000000002"/>
    <n v="32.993000000000002"/>
    <n v="32.993000000000002"/>
    <n v="12"/>
    <x v="0"/>
    <n v="0"/>
    <n v="0"/>
    <n v="50"/>
    <n v="83"/>
    <n v="0"/>
    <n v="476.06"/>
    <n v="165.21"/>
    <m/>
    <n v="548.25336013912624"/>
    <n v="149.21653430157579"/>
    <n v="0"/>
    <n v="15706.647580000001"/>
    <n v="5450.7735300000004"/>
    <n v="0"/>
    <n v="18088.523111070193"/>
    <n v="4923.1011162118903"/>
  </r>
  <r>
    <s v="Regular"/>
    <x v="3"/>
    <x v="1"/>
    <x v="1"/>
    <x v="0"/>
    <x v="0"/>
    <x v="0"/>
    <x v="1"/>
    <x v="9"/>
    <n v="0"/>
    <n v="0"/>
    <n v="55.75"/>
    <n v="55.75"/>
    <n v="55.75"/>
    <n v="55.75"/>
    <n v="54"/>
    <x v="0"/>
    <n v="0"/>
    <n v="0"/>
    <n v="50"/>
    <n v="83"/>
    <n v="0"/>
    <n v="476.06"/>
    <n v="165.21"/>
    <m/>
    <n v="548.25336013912624"/>
    <n v="149.21653430157579"/>
    <n v="0"/>
    <n v="26540.345000000001"/>
    <n v="9210.4575000000004"/>
    <n v="0"/>
    <n v="30565.124827756288"/>
    <n v="8318.8217873128506"/>
  </r>
  <r>
    <s v="Sistema de Compensação"/>
    <x v="3"/>
    <x v="1"/>
    <x v="1"/>
    <x v="0"/>
    <x v="0"/>
    <x v="0"/>
    <x v="1"/>
    <x v="9"/>
    <n v="0"/>
    <n v="0"/>
    <n v="40.058"/>
    <n v="40.058"/>
    <n v="40.058"/>
    <n v="40.058"/>
    <n v="13"/>
    <x v="0"/>
    <n v="0"/>
    <n v="0"/>
    <n v="50"/>
    <n v="83"/>
    <n v="0"/>
    <n v="476.06"/>
    <n v="165.21"/>
    <m/>
    <n v="548.25336013912624"/>
    <n v="149.21653430157579"/>
    <n v="0"/>
    <n v="19070.011480000001"/>
    <n v="6617.98218"/>
    <n v="0"/>
    <n v="21961.93310045312"/>
    <n v="5977.3159310525234"/>
  </r>
  <r>
    <s v="Regular"/>
    <x v="3"/>
    <x v="1"/>
    <x v="1"/>
    <x v="0"/>
    <x v="0"/>
    <x v="0"/>
    <x v="1"/>
    <x v="10"/>
    <n v="0"/>
    <n v="0"/>
    <n v="53.003"/>
    <n v="53.003"/>
    <n v="53.003"/>
    <n v="53.003"/>
    <n v="54"/>
    <x v="0"/>
    <n v="0"/>
    <n v="0"/>
    <n v="50"/>
    <n v="83"/>
    <n v="0"/>
    <n v="476.06"/>
    <n v="165.21"/>
    <m/>
    <n v="548.25336013912624"/>
    <n v="149.21653430157579"/>
    <n v="0"/>
    <n v="25232.608179999999"/>
    <n v="8756.6256300000005"/>
    <n v="0"/>
    <n v="29059.07284745411"/>
    <n v="7908.9239675864219"/>
  </r>
  <r>
    <s v="Sistema de Compensação"/>
    <x v="3"/>
    <x v="1"/>
    <x v="1"/>
    <x v="0"/>
    <x v="0"/>
    <x v="0"/>
    <x v="1"/>
    <x v="10"/>
    <n v="0"/>
    <n v="0"/>
    <n v="42.128"/>
    <n v="42.128"/>
    <n v="42.128"/>
    <n v="42.128"/>
    <n v="12"/>
    <x v="0"/>
    <n v="0"/>
    <n v="0"/>
    <n v="50"/>
    <n v="83"/>
    <n v="0"/>
    <n v="476.06"/>
    <n v="165.21"/>
    <m/>
    <n v="548.25336013912624"/>
    <n v="149.21653430157579"/>
    <n v="0"/>
    <n v="20055.455679999999"/>
    <n v="6959.9668799999999"/>
    <n v="0"/>
    <n v="23096.81755594111"/>
    <n v="6286.1941570567851"/>
  </r>
  <r>
    <s v="Regular"/>
    <x v="3"/>
    <x v="1"/>
    <x v="1"/>
    <x v="0"/>
    <x v="0"/>
    <x v="0"/>
    <x v="1"/>
    <x v="11"/>
    <n v="0"/>
    <n v="0"/>
    <n v="61.704999999999998"/>
    <n v="61.704999999999998"/>
    <n v="61.704999999999998"/>
    <n v="61.704999999999998"/>
    <n v="53"/>
    <x v="0"/>
    <n v="0"/>
    <n v="0"/>
    <n v="50"/>
    <n v="83"/>
    <n v="0"/>
    <n v="476.06"/>
    <n v="165.21"/>
    <m/>
    <n v="548.25336013912624"/>
    <n v="149.21653430157579"/>
    <n v="0"/>
    <n v="29375.282299999999"/>
    <n v="10194.28305"/>
    <n v="0"/>
    <n v="33829.973587384782"/>
    <n v="9207.4062490787346"/>
  </r>
  <r>
    <s v="Sistema de Compensação"/>
    <x v="3"/>
    <x v="1"/>
    <x v="1"/>
    <x v="0"/>
    <x v="0"/>
    <x v="0"/>
    <x v="1"/>
    <x v="11"/>
    <n v="0"/>
    <n v="0"/>
    <n v="44.357999999999997"/>
    <n v="44.357999999999997"/>
    <n v="44.357999999999997"/>
    <n v="44.357999999999997"/>
    <n v="14"/>
    <x v="0"/>
    <n v="0"/>
    <n v="0"/>
    <n v="50"/>
    <n v="83"/>
    <n v="0"/>
    <n v="476.06"/>
    <n v="165.21"/>
    <m/>
    <n v="548.25336013912624"/>
    <n v="149.21653430157579"/>
    <n v="0"/>
    <n v="21117.069479999998"/>
    <n v="7328.3851800000002"/>
    <n v="0"/>
    <n v="24319.42254905136"/>
    <n v="6618.9470285492989"/>
  </r>
  <r>
    <s v="Regular"/>
    <x v="3"/>
    <x v="1"/>
    <x v="6"/>
    <x v="0"/>
    <x v="0"/>
    <x v="0"/>
    <x v="1"/>
    <x v="0"/>
    <n v="0"/>
    <n v="0"/>
    <n v="29.422999999999998"/>
    <n v="29.422999999999998"/>
    <n v="29.422999999999998"/>
    <n v="29.422999999999998"/>
    <n v="55"/>
    <x v="0"/>
    <n v="0"/>
    <n v="0"/>
    <n v="50"/>
    <n v="83"/>
    <n v="0"/>
    <n v="476.06"/>
    <n v="165.21"/>
    <m/>
    <n v="548.25336013912624"/>
    <n v="149.21653430157579"/>
    <n v="0"/>
    <n v="14007.113379999999"/>
    <n v="4860.9738299999999"/>
    <n v="0"/>
    <n v="16131.25861537351"/>
    <n v="4390.3980887552643"/>
  </r>
  <r>
    <s v="Regular"/>
    <x v="3"/>
    <x v="1"/>
    <x v="6"/>
    <x v="0"/>
    <x v="0"/>
    <x v="0"/>
    <x v="1"/>
    <x v="1"/>
    <n v="0"/>
    <n v="0"/>
    <n v="25.593"/>
    <n v="25.593"/>
    <n v="25.593"/>
    <n v="25.593"/>
    <n v="56"/>
    <x v="0"/>
    <n v="0"/>
    <n v="0"/>
    <n v="50"/>
    <n v="83"/>
    <n v="0"/>
    <n v="476.06"/>
    <n v="165.21"/>
    <m/>
    <n v="548.25336013912624"/>
    <n v="149.21653430157579"/>
    <n v="0"/>
    <n v="12183.80358"/>
    <n v="4228.2195300000003"/>
    <n v="0"/>
    <n v="14031.448246040658"/>
    <n v="3818.8987623802291"/>
  </r>
  <r>
    <s v="Regular"/>
    <x v="3"/>
    <x v="1"/>
    <x v="6"/>
    <x v="0"/>
    <x v="0"/>
    <x v="0"/>
    <x v="1"/>
    <x v="2"/>
    <n v="0"/>
    <n v="0"/>
    <n v="36.228000000000002"/>
    <n v="36.228000000000002"/>
    <n v="36.228000000000002"/>
    <n v="36.228000000000002"/>
    <n v="56"/>
    <x v="0"/>
    <n v="0"/>
    <n v="0"/>
    <n v="50"/>
    <n v="83"/>
    <n v="0"/>
    <n v="476.06"/>
    <n v="165.21"/>
    <m/>
    <n v="548.25336013912624"/>
    <n v="149.21653430157579"/>
    <n v="0"/>
    <n v="17246.701680000002"/>
    <n v="5985.2278800000004"/>
    <n v="0"/>
    <n v="19862.122731120267"/>
    <n v="5405.8166046774877"/>
  </r>
  <r>
    <s v="Regular"/>
    <x v="3"/>
    <x v="1"/>
    <x v="6"/>
    <x v="0"/>
    <x v="0"/>
    <x v="0"/>
    <x v="1"/>
    <x v="3"/>
    <n v="0"/>
    <n v="0"/>
    <n v="40.069000000000003"/>
    <n v="40.069000000000003"/>
    <n v="40.069000000000003"/>
    <n v="40.069000000000003"/>
    <n v="55"/>
    <x v="0"/>
    <n v="0"/>
    <n v="0"/>
    <n v="50"/>
    <n v="83"/>
    <n v="0"/>
    <n v="476.06"/>
    <n v="165.21"/>
    <m/>
    <n v="548.25336013912624"/>
    <n v="149.21653430157579"/>
    <n v="0"/>
    <n v="19075.24814"/>
    <n v="6619.7994900000003"/>
    <n v="0"/>
    <n v="21967.963887414651"/>
    <n v="5978.9573129298406"/>
  </r>
  <r>
    <s v="Regular"/>
    <x v="3"/>
    <x v="1"/>
    <x v="6"/>
    <x v="0"/>
    <x v="0"/>
    <x v="0"/>
    <x v="1"/>
    <x v="4"/>
    <n v="0"/>
    <n v="0"/>
    <n v="31.506"/>
    <n v="31.506"/>
    <n v="31.506"/>
    <n v="31.506"/>
    <n v="55"/>
    <x v="0"/>
    <n v="0"/>
    <n v="0"/>
    <n v="50"/>
    <n v="83"/>
    <n v="0"/>
    <n v="476.06"/>
    <n v="165.21"/>
    <m/>
    <n v="548.25336013912624"/>
    <n v="149.21653430157579"/>
    <n v="0"/>
    <n v="14998.746360000001"/>
    <n v="5205.1062600000005"/>
    <n v="0"/>
    <n v="17273.27036454331"/>
    <n v="4701.2161297054472"/>
  </r>
  <r>
    <s v="Regular"/>
    <x v="3"/>
    <x v="1"/>
    <x v="6"/>
    <x v="0"/>
    <x v="0"/>
    <x v="0"/>
    <x v="1"/>
    <x v="5"/>
    <n v="0"/>
    <n v="0"/>
    <n v="51.444000000000003"/>
    <n v="51.444000000000003"/>
    <n v="51.444000000000003"/>
    <n v="51.444000000000003"/>
    <n v="56"/>
    <x v="0"/>
    <n v="0"/>
    <n v="0"/>
    <n v="50"/>
    <n v="83"/>
    <n v="0"/>
    <n v="476.06"/>
    <n v="165.21"/>
    <m/>
    <n v="548.25336013912624"/>
    <n v="149.21653430157579"/>
    <n v="0"/>
    <n v="24490.430640000002"/>
    <n v="8499.0632400000013"/>
    <n v="0"/>
    <n v="28204.345858997211"/>
    <n v="7676.2953906102657"/>
  </r>
  <r>
    <s v="Regular"/>
    <x v="3"/>
    <x v="1"/>
    <x v="6"/>
    <x v="0"/>
    <x v="0"/>
    <x v="0"/>
    <x v="1"/>
    <x v="6"/>
    <n v="0"/>
    <n v="0"/>
    <n v="51.603000000000002"/>
    <n v="51.603000000000002"/>
    <n v="51.603000000000002"/>
    <n v="51.603000000000002"/>
    <n v="57"/>
    <x v="0"/>
    <n v="0"/>
    <n v="0"/>
    <n v="50"/>
    <n v="83"/>
    <n v="0"/>
    <n v="476.06"/>
    <n v="165.21"/>
    <m/>
    <n v="548.25336013912624"/>
    <n v="149.21653430157579"/>
    <n v="0"/>
    <n v="24566.124180000003"/>
    <n v="8525.3316300000006"/>
    <n v="0"/>
    <n v="28291.518143259331"/>
    <n v="7700.0208195642153"/>
  </r>
  <r>
    <s v="Regular"/>
    <x v="3"/>
    <x v="1"/>
    <x v="6"/>
    <x v="0"/>
    <x v="0"/>
    <x v="0"/>
    <x v="1"/>
    <x v="7"/>
    <n v="0"/>
    <n v="0"/>
    <n v="37.845999999999997"/>
    <n v="37.845999999999997"/>
    <n v="37.845999999999997"/>
    <n v="37.845999999999997"/>
    <n v="56"/>
    <x v="0"/>
    <n v="0"/>
    <n v="0"/>
    <n v="50"/>
    <n v="83"/>
    <n v="0"/>
    <n v="476.06"/>
    <n v="165.21"/>
    <m/>
    <n v="548.25336013912624"/>
    <n v="149.21653430157579"/>
    <n v="0"/>
    <n v="18016.966759999999"/>
    <n v="6252.53766"/>
    <n v="0"/>
    <n v="20749.19666782537"/>
    <n v="5647.2489571774368"/>
  </r>
  <r>
    <s v="Regular"/>
    <x v="3"/>
    <x v="1"/>
    <x v="6"/>
    <x v="0"/>
    <x v="0"/>
    <x v="0"/>
    <x v="1"/>
    <x v="8"/>
    <n v="0"/>
    <n v="0"/>
    <n v="32.81"/>
    <n v="32.81"/>
    <n v="32.81"/>
    <n v="32.81"/>
    <n v="57"/>
    <x v="0"/>
    <n v="0"/>
    <n v="0"/>
    <n v="50"/>
    <n v="83"/>
    <n v="0"/>
    <n v="476.06"/>
    <n v="165.21"/>
    <m/>
    <n v="548.25336013912624"/>
    <n v="149.21653430157579"/>
    <n v="0"/>
    <n v="15619.528600000001"/>
    <n v="5420.5401000000011"/>
    <n v="0"/>
    <n v="17988.192746164732"/>
    <n v="4895.7944904347023"/>
  </r>
  <r>
    <s v="Regular"/>
    <x v="3"/>
    <x v="1"/>
    <x v="6"/>
    <x v="0"/>
    <x v="0"/>
    <x v="0"/>
    <x v="1"/>
    <x v="9"/>
    <n v="0"/>
    <n v="0"/>
    <n v="32.688000000000002"/>
    <n v="32.688000000000002"/>
    <n v="32.688000000000002"/>
    <n v="32.688000000000002"/>
    <n v="57"/>
    <x v="0"/>
    <n v="0"/>
    <n v="0"/>
    <n v="50"/>
    <n v="83"/>
    <n v="0"/>
    <n v="476.06"/>
    <n v="165.21"/>
    <m/>
    <n v="548.25336013912624"/>
    <n v="149.21653430157579"/>
    <n v="0"/>
    <n v="15561.449280000001"/>
    <n v="5400.3844800000006"/>
    <n v="0"/>
    <n v="17921.305836227759"/>
    <n v="4877.5900732499094"/>
  </r>
  <r>
    <s v="Regular"/>
    <x v="3"/>
    <x v="1"/>
    <x v="6"/>
    <x v="0"/>
    <x v="0"/>
    <x v="0"/>
    <x v="1"/>
    <x v="10"/>
    <n v="0"/>
    <n v="0"/>
    <n v="29.638999999999999"/>
    <n v="29.638999999999999"/>
    <n v="29.638999999999999"/>
    <n v="29.638999999999999"/>
    <n v="58"/>
    <x v="0"/>
    <n v="0"/>
    <n v="0"/>
    <n v="50"/>
    <n v="83"/>
    <n v="0"/>
    <n v="476.06"/>
    <n v="165.21"/>
    <m/>
    <n v="548.25336013912624"/>
    <n v="149.21653430157579"/>
    <n v="0"/>
    <n v="14109.94234"/>
    <n v="4896.6591900000003"/>
    <n v="0"/>
    <n v="16249.681341163563"/>
    <n v="4422.6288601644046"/>
  </r>
  <r>
    <s v="Regular"/>
    <x v="3"/>
    <x v="1"/>
    <x v="6"/>
    <x v="0"/>
    <x v="0"/>
    <x v="0"/>
    <x v="1"/>
    <x v="11"/>
    <n v="0"/>
    <n v="0"/>
    <n v="30.934000000000001"/>
    <n v="30.934000000000001"/>
    <n v="30.934000000000001"/>
    <n v="30.934000000000001"/>
    <n v="58"/>
    <x v="0"/>
    <n v="0"/>
    <n v="0"/>
    <n v="50"/>
    <n v="83"/>
    <n v="0"/>
    <n v="476.06"/>
    <n v="165.21"/>
    <m/>
    <n v="548.25336013912624"/>
    <n v="149.21653430157579"/>
    <n v="0"/>
    <n v="14726.440040000001"/>
    <n v="5110.6061400000008"/>
    <n v="0"/>
    <n v="16959.669442543731"/>
    <n v="4615.8642720849457"/>
  </r>
  <r>
    <s v="Regular"/>
    <x v="3"/>
    <x v="1"/>
    <x v="2"/>
    <x v="1"/>
    <x v="0"/>
    <x v="0"/>
    <x v="1"/>
    <x v="0"/>
    <n v="0"/>
    <n v="0"/>
    <n v="7.6340000000000003"/>
    <n v="7.1759599999999999"/>
    <n v="7.6340000000000003"/>
    <n v="7.1759599999999999"/>
    <n v="13"/>
    <x v="0"/>
    <n v="0"/>
    <n v="0"/>
    <n v="50"/>
    <n v="83"/>
    <n v="0"/>
    <n v="476.06"/>
    <n v="165.21"/>
    <m/>
    <n v="548.25336013912624"/>
    <n v="149.21653430157579"/>
    <n v="0"/>
    <n v="3416.1875175999999"/>
    <n v="1185.5403516000001"/>
    <n v="0"/>
    <n v="3934.2441822239643"/>
    <n v="1070.7718814867358"/>
  </r>
  <r>
    <s v="Regular"/>
    <x v="3"/>
    <x v="1"/>
    <x v="2"/>
    <x v="1"/>
    <x v="0"/>
    <x v="0"/>
    <x v="1"/>
    <x v="1"/>
    <n v="0"/>
    <n v="0"/>
    <n v="7.2930000000000001"/>
    <n v="6.8554199999999996"/>
    <n v="7.2930000000000001"/>
    <n v="6.8554199999999996"/>
    <n v="12"/>
    <x v="0"/>
    <n v="0"/>
    <n v="0"/>
    <n v="50"/>
    <n v="83"/>
    <n v="0"/>
    <n v="476.06"/>
    <n v="165.21"/>
    <m/>
    <n v="548.25336013912624"/>
    <n v="149.21653430157579"/>
    <n v="0"/>
    <n v="3263.5912451999998"/>
    <n v="1132.5839381999999"/>
    <n v="0"/>
    <n v="3758.5070501649684"/>
    <n v="1022.9420135817087"/>
  </r>
  <r>
    <s v="Regular"/>
    <x v="3"/>
    <x v="1"/>
    <x v="2"/>
    <x v="1"/>
    <x v="0"/>
    <x v="0"/>
    <x v="1"/>
    <x v="2"/>
    <n v="0"/>
    <n v="0"/>
    <n v="6.923"/>
    <n v="6.5076199999999993"/>
    <n v="6.923"/>
    <n v="6.5076199999999993"/>
    <n v="12"/>
    <x v="0"/>
    <n v="0"/>
    <n v="0"/>
    <n v="50"/>
    <n v="83"/>
    <n v="0"/>
    <n v="476.06"/>
    <n v="165.21"/>
    <m/>
    <n v="548.25336013912624"/>
    <n v="149.21653430157579"/>
    <n v="0"/>
    <n v="3098.0175771999998"/>
    <n v="1075.1239002"/>
    <n v="0"/>
    <n v="3567.8245315085805"/>
    <n v="971.04450295162053"/>
  </r>
  <r>
    <s v="Regular"/>
    <x v="3"/>
    <x v="1"/>
    <x v="2"/>
    <x v="1"/>
    <x v="0"/>
    <x v="0"/>
    <x v="1"/>
    <x v="3"/>
    <n v="0"/>
    <n v="0"/>
    <n v="7.5789999999999997"/>
    <n v="7.1242599999999996"/>
    <n v="7.5789999999999997"/>
    <n v="7.1242599999999996"/>
    <n v="12"/>
    <x v="0"/>
    <n v="0"/>
    <n v="0"/>
    <n v="50"/>
    <n v="83"/>
    <n v="0"/>
    <n v="476.06"/>
    <n v="165.21"/>
    <m/>
    <n v="548.25336013912624"/>
    <n v="149.21653430157579"/>
    <n v="0"/>
    <n v="3391.5752155999999"/>
    <n v="1176.9989946000001"/>
    <n v="0"/>
    <n v="3905.8994835047715"/>
    <n v="1063.0573866633442"/>
  </r>
  <r>
    <s v="Regular"/>
    <x v="3"/>
    <x v="1"/>
    <x v="2"/>
    <x v="1"/>
    <x v="0"/>
    <x v="0"/>
    <x v="1"/>
    <x v="4"/>
    <n v="0"/>
    <n v="0"/>
    <n v="12.791"/>
    <n v="12.023539999999999"/>
    <n v="12.791"/>
    <n v="12.023539999999999"/>
    <n v="12"/>
    <x v="0"/>
    <n v="0"/>
    <n v="0"/>
    <n v="50"/>
    <n v="83"/>
    <n v="0"/>
    <n v="476.06"/>
    <n v="165.21"/>
    <m/>
    <n v="548.25336013912624"/>
    <n v="149.21653430157579"/>
    <n v="0"/>
    <n v="5723.9264523999991"/>
    <n v="1986.4090434"/>
    <n v="0"/>
    <n v="6591.946205767189"/>
    <n v="1794.1109688363683"/>
  </r>
  <r>
    <s v="Regular"/>
    <x v="3"/>
    <x v="1"/>
    <x v="2"/>
    <x v="1"/>
    <x v="0"/>
    <x v="0"/>
    <x v="1"/>
    <x v="5"/>
    <n v="0"/>
    <n v="0"/>
    <n v="8.4130000000000003"/>
    <n v="7.90822"/>
    <n v="8.4130000000000003"/>
    <n v="7.90822"/>
    <n v="12"/>
    <x v="0"/>
    <n v="0"/>
    <n v="0"/>
    <n v="50"/>
    <n v="83"/>
    <n v="0"/>
    <n v="476.06"/>
    <n v="165.21"/>
    <m/>
    <n v="548.25336013912624"/>
    <n v="149.21653430157579"/>
    <n v="0"/>
    <n v="3764.7872132000002"/>
    <n v="1306.5170262000001"/>
    <n v="0"/>
    <n v="4335.7081877194414"/>
    <n v="1180.0371808944078"/>
  </r>
  <r>
    <s v="Regular"/>
    <x v="3"/>
    <x v="1"/>
    <x v="2"/>
    <x v="1"/>
    <x v="0"/>
    <x v="0"/>
    <x v="1"/>
    <x v="6"/>
    <n v="0"/>
    <n v="0"/>
    <n v="6.742"/>
    <n v="6.3374800000000002"/>
    <n v="6.742"/>
    <n v="6.3374800000000002"/>
    <n v="12"/>
    <x v="0"/>
    <n v="0"/>
    <n v="0"/>
    <n v="50"/>
    <n v="83"/>
    <n v="0"/>
    <n v="476.06"/>
    <n v="165.21"/>
    <m/>
    <n v="548.25336013912624"/>
    <n v="149.21653430157579"/>
    <n v="0"/>
    <n v="3017.0207288000001"/>
    <n v="1047.0150708000001"/>
    <n v="0"/>
    <n v="3474.5447048145097"/>
    <n v="945.65680180555057"/>
  </r>
  <r>
    <s v="Regular"/>
    <x v="3"/>
    <x v="1"/>
    <x v="2"/>
    <x v="1"/>
    <x v="0"/>
    <x v="0"/>
    <x v="1"/>
    <x v="7"/>
    <n v="0"/>
    <n v="0"/>
    <n v="6.8230000000000004"/>
    <n v="6.4136199999999999"/>
    <n v="6.8230000000000004"/>
    <n v="6.4136199999999999"/>
    <n v="12"/>
    <x v="0"/>
    <n v="0"/>
    <n v="0"/>
    <n v="50"/>
    <n v="83"/>
    <n v="0"/>
    <n v="476.06"/>
    <n v="165.21"/>
    <m/>
    <n v="548.25336013912624"/>
    <n v="149.21653430157579"/>
    <n v="0"/>
    <n v="3053.2679371999998"/>
    <n v="1059.5941602"/>
    <n v="0"/>
    <n v="3516.288715655503"/>
    <n v="957.01814872727255"/>
  </r>
  <r>
    <s v="Regular"/>
    <x v="3"/>
    <x v="1"/>
    <x v="2"/>
    <x v="1"/>
    <x v="0"/>
    <x v="0"/>
    <x v="1"/>
    <x v="8"/>
    <n v="0"/>
    <n v="0"/>
    <n v="11.523"/>
    <n v="10.831619999999999"/>
    <n v="11.523"/>
    <n v="10.831619999999999"/>
    <n v="12"/>
    <x v="0"/>
    <n v="0"/>
    <n v="0"/>
    <n v="50"/>
    <n v="83"/>
    <n v="0"/>
    <n v="476.06"/>
    <n v="165.21"/>
    <m/>
    <n v="548.25336013912624"/>
    <n v="149.21653430157579"/>
    <n v="0"/>
    <n v="5156.5010171999993"/>
    <n v="1789.4919402"/>
    <n v="0"/>
    <n v="5938.4720607501622"/>
    <n v="1616.2567972716342"/>
  </r>
  <r>
    <s v="Regular"/>
    <x v="3"/>
    <x v="1"/>
    <x v="2"/>
    <x v="1"/>
    <x v="0"/>
    <x v="0"/>
    <x v="1"/>
    <x v="9"/>
    <n v="0"/>
    <n v="0"/>
    <n v="5.4969999999999999"/>
    <n v="5.1671800000000001"/>
    <n v="5.4969999999999999"/>
    <n v="5.1671800000000001"/>
    <n v="14"/>
    <x v="0"/>
    <n v="0"/>
    <n v="0"/>
    <n v="50"/>
    <n v="83"/>
    <n v="0"/>
    <n v="476.06"/>
    <n v="165.21"/>
    <m/>
    <n v="548.25336013912624"/>
    <n v="149.21653430157579"/>
    <n v="0"/>
    <n v="2459.8877108000001"/>
    <n v="853.66980780000006"/>
    <n v="0"/>
    <n v="2832.9237974436905"/>
    <n v="771.02869171241639"/>
  </r>
  <r>
    <s v="Regular"/>
    <x v="3"/>
    <x v="1"/>
    <x v="2"/>
    <x v="1"/>
    <x v="0"/>
    <x v="0"/>
    <x v="1"/>
    <x v="10"/>
    <n v="0"/>
    <n v="0"/>
    <n v="6.97"/>
    <n v="6.5518000000000001"/>
    <n v="6.97"/>
    <n v="6.5518000000000001"/>
    <n v="12"/>
    <x v="0"/>
    <n v="0"/>
    <n v="0"/>
    <n v="50"/>
    <n v="83"/>
    <n v="0"/>
    <n v="476.06"/>
    <n v="165.21"/>
    <m/>
    <n v="548.25336013912624"/>
    <n v="149.21653430157579"/>
    <n v="0"/>
    <n v="3119.049908"/>
    <n v="1082.4228780000001"/>
    <n v="0"/>
    <n v="3592.0463649595272"/>
    <n v="977.63688943706427"/>
  </r>
  <r>
    <s v="Regular"/>
    <x v="3"/>
    <x v="1"/>
    <x v="2"/>
    <x v="1"/>
    <x v="0"/>
    <x v="0"/>
    <x v="1"/>
    <x v="11"/>
    <n v="0"/>
    <n v="0"/>
    <n v="10.010999999999999"/>
    <n v="9.4103399999999997"/>
    <n v="10.010999999999999"/>
    <n v="9.4103399999999997"/>
    <n v="12"/>
    <x v="0"/>
    <n v="0"/>
    <n v="0"/>
    <n v="50"/>
    <n v="83"/>
    <n v="0"/>
    <n v="476.06"/>
    <n v="165.21"/>
    <m/>
    <n v="548.25336013912624"/>
    <n v="149.21653430157579"/>
    <n v="0"/>
    <n v="4479.8864604"/>
    <n v="1554.6822714"/>
    <n v="0"/>
    <n v="5159.2505250516251"/>
    <n v="1404.1783213994906"/>
  </r>
  <r>
    <s v="Regular"/>
    <x v="4"/>
    <x v="1"/>
    <x v="7"/>
    <x v="9"/>
    <x v="0"/>
    <x v="0"/>
    <x v="1"/>
    <x v="0"/>
    <n v="0"/>
    <n v="0"/>
    <n v="159.626"/>
    <n v="159.626"/>
    <n v="159.626"/>
    <n v="159.626"/>
    <n v="8"/>
    <x v="0"/>
    <n v="0"/>
    <n v="0"/>
    <n v="33"/>
    <n v="85"/>
    <n v="0"/>
    <n v="261.83"/>
    <n v="90.86"/>
    <m/>
    <n v="301.53934807651945"/>
    <n v="82.069093865866705"/>
    <n v="0"/>
    <n v="41794.87558"/>
    <n v="14503.61836"/>
    <n v="0"/>
    <n v="48133.519976062496"/>
    <n v="13100.361177432838"/>
  </r>
  <r>
    <s v="Regular"/>
    <x v="4"/>
    <x v="1"/>
    <x v="7"/>
    <x v="9"/>
    <x v="0"/>
    <x v="0"/>
    <x v="1"/>
    <x v="1"/>
    <n v="0"/>
    <n v="0"/>
    <n v="166.33199999999999"/>
    <n v="166.33199999999999"/>
    <n v="166.33199999999999"/>
    <n v="166.33199999999999"/>
    <n v="10"/>
    <x v="0"/>
    <n v="0"/>
    <n v="0"/>
    <n v="33"/>
    <n v="85"/>
    <n v="0"/>
    <n v="261.83"/>
    <n v="90.86"/>
    <m/>
    <n v="301.53934807651945"/>
    <n v="82.069093865866705"/>
    <n v="0"/>
    <n v="43550.707559999995"/>
    <n v="15112.925519999999"/>
    <n v="0"/>
    <n v="50155.642844263632"/>
    <n v="13650.71652089734"/>
  </r>
  <r>
    <s v="Regular"/>
    <x v="4"/>
    <x v="1"/>
    <x v="7"/>
    <x v="9"/>
    <x v="0"/>
    <x v="0"/>
    <x v="1"/>
    <x v="2"/>
    <n v="0"/>
    <n v="0"/>
    <n v="161.327"/>
    <n v="161.327"/>
    <n v="161.327"/>
    <n v="161.327"/>
    <n v="10"/>
    <x v="0"/>
    <n v="0"/>
    <n v="0"/>
    <n v="33"/>
    <n v="85"/>
    <n v="0"/>
    <n v="261.83"/>
    <n v="90.86"/>
    <m/>
    <n v="301.53934807651945"/>
    <n v="82.069093865866705"/>
    <n v="0"/>
    <n v="42240.24841"/>
    <n v="14658.17122"/>
    <n v="0"/>
    <n v="48646.438407140653"/>
    <n v="13239.960706098678"/>
  </r>
  <r>
    <s v="Regular"/>
    <x v="4"/>
    <x v="1"/>
    <x v="7"/>
    <x v="9"/>
    <x v="0"/>
    <x v="0"/>
    <x v="1"/>
    <x v="3"/>
    <n v="0"/>
    <n v="0"/>
    <n v="165.21700000000001"/>
    <n v="165.21700000000001"/>
    <n v="165.21700000000001"/>
    <n v="165.21700000000001"/>
    <n v="8"/>
    <x v="0"/>
    <n v="0"/>
    <n v="0"/>
    <n v="33"/>
    <n v="85"/>
    <n v="0"/>
    <n v="261.83"/>
    <n v="90.86"/>
    <m/>
    <n v="301.53934807651945"/>
    <n v="82.069093865866705"/>
    <n v="0"/>
    <n v="43258.767110000001"/>
    <n v="15011.616620000001"/>
    <n v="0"/>
    <n v="49819.426471158316"/>
    <n v="13559.2094812369"/>
  </r>
  <r>
    <s v="Regular"/>
    <x v="4"/>
    <x v="1"/>
    <x v="7"/>
    <x v="9"/>
    <x v="0"/>
    <x v="0"/>
    <x v="1"/>
    <x v="4"/>
    <n v="0"/>
    <n v="0"/>
    <n v="167.01499999999999"/>
    <n v="167.01499999999999"/>
    <n v="167.01499999999999"/>
    <n v="167.01499999999999"/>
    <n v="9"/>
    <x v="0"/>
    <n v="0"/>
    <n v="0"/>
    <n v="33"/>
    <n v="85"/>
    <n v="0"/>
    <n v="261.83"/>
    <n v="90.86"/>
    <m/>
    <n v="301.53934807651945"/>
    <n v="82.069093865866705"/>
    <n v="0"/>
    <n v="43729.537449999996"/>
    <n v="15174.982899999999"/>
    <n v="0"/>
    <n v="50361.59421899989"/>
    <n v="13706.769712007726"/>
  </r>
  <r>
    <s v="Regular"/>
    <x v="4"/>
    <x v="1"/>
    <x v="7"/>
    <x v="9"/>
    <x v="0"/>
    <x v="0"/>
    <x v="1"/>
    <x v="5"/>
    <n v="0"/>
    <n v="0"/>
    <n v="149.13200000000001"/>
    <n v="149.13200000000001"/>
    <n v="149.13200000000001"/>
    <n v="149.13200000000001"/>
    <n v="8"/>
    <x v="0"/>
    <n v="0"/>
    <n v="0"/>
    <n v="33"/>
    <n v="85"/>
    <n v="0"/>
    <n v="261.83"/>
    <n v="90.86"/>
    <m/>
    <n v="301.53934807651945"/>
    <n v="82.069093865866705"/>
    <n v="0"/>
    <n v="39047.23156"/>
    <n v="13550.133520000001"/>
    <n v="0"/>
    <n v="44969.166057347502"/>
    <n v="12239.128106404434"/>
  </r>
  <r>
    <s v="Regular"/>
    <x v="4"/>
    <x v="1"/>
    <x v="7"/>
    <x v="9"/>
    <x v="0"/>
    <x v="0"/>
    <x v="1"/>
    <x v="6"/>
    <n v="0"/>
    <n v="0"/>
    <n v="165.19800000000001"/>
    <n v="165.19800000000001"/>
    <n v="165.19800000000001"/>
    <n v="165.19800000000001"/>
    <n v="8"/>
    <x v="0"/>
    <n v="0"/>
    <n v="0"/>
    <n v="33"/>
    <n v="85"/>
    <n v="0"/>
    <n v="261.83"/>
    <n v="90.86"/>
    <m/>
    <n v="301.53934807651945"/>
    <n v="82.069093865866705"/>
    <n v="0"/>
    <n v="43253.79234"/>
    <n v="15009.890280000001"/>
    <n v="0"/>
    <n v="49813.697223544863"/>
    <n v="13557.650168453449"/>
  </r>
  <r>
    <s v="Regular"/>
    <x v="4"/>
    <x v="1"/>
    <x v="7"/>
    <x v="9"/>
    <x v="0"/>
    <x v="0"/>
    <x v="1"/>
    <x v="7"/>
    <n v="0"/>
    <n v="0"/>
    <n v="160.88499999999999"/>
    <n v="160.88499999999999"/>
    <n v="160.88499999999999"/>
    <n v="160.88499999999999"/>
    <n v="8"/>
    <x v="0"/>
    <n v="0"/>
    <n v="0"/>
    <n v="33"/>
    <n v="85"/>
    <n v="0"/>
    <n v="261.83"/>
    <n v="90.86"/>
    <m/>
    <n v="301.53934807651945"/>
    <n v="82.069093865866705"/>
    <n v="0"/>
    <n v="42124.519549999997"/>
    <n v="14618.0111"/>
    <n v="0"/>
    <n v="48513.158015290828"/>
    <n v="13203.686166609965"/>
  </r>
  <r>
    <s v="Regular"/>
    <x v="4"/>
    <x v="1"/>
    <x v="7"/>
    <x v="9"/>
    <x v="0"/>
    <x v="0"/>
    <x v="1"/>
    <x v="8"/>
    <n v="0"/>
    <n v="0"/>
    <n v="166.24799999999999"/>
    <n v="166.24799999999999"/>
    <n v="166.24799999999999"/>
    <n v="166.24799999999999"/>
    <n v="8"/>
    <x v="0"/>
    <n v="0"/>
    <n v="0"/>
    <n v="33"/>
    <n v="85"/>
    <n v="0"/>
    <n v="261.83"/>
    <n v="90.86"/>
    <m/>
    <n v="301.53934807651945"/>
    <n v="82.069093865866705"/>
    <n v="0"/>
    <n v="43528.713839999997"/>
    <n v="15105.29328"/>
    <n v="0"/>
    <n v="50130.313539025199"/>
    <n v="13643.822717012607"/>
  </r>
  <r>
    <s v="Regular"/>
    <x v="4"/>
    <x v="1"/>
    <x v="7"/>
    <x v="9"/>
    <x v="0"/>
    <x v="0"/>
    <x v="1"/>
    <x v="9"/>
    <n v="0"/>
    <n v="0"/>
    <n v="160.94499999999999"/>
    <n v="160.94499999999999"/>
    <n v="160.94499999999999"/>
    <n v="160.94499999999999"/>
    <n v="8"/>
    <x v="0"/>
    <n v="0"/>
    <n v="0"/>
    <n v="33"/>
    <n v="85"/>
    <n v="0"/>
    <n v="261.83"/>
    <n v="90.86"/>
    <m/>
    <n v="301.53934807651945"/>
    <n v="82.069093865866705"/>
    <n v="0"/>
    <n v="42140.229349999994"/>
    <n v="14623.4627"/>
    <n v="0"/>
    <n v="48531.25037617542"/>
    <n v="13208.610312241915"/>
  </r>
  <r>
    <s v="Regular"/>
    <x v="4"/>
    <x v="1"/>
    <x v="7"/>
    <x v="9"/>
    <x v="0"/>
    <x v="0"/>
    <x v="1"/>
    <x v="10"/>
    <n v="0"/>
    <n v="0"/>
    <n v="165.71299999999999"/>
    <n v="165.71299999999999"/>
    <n v="165.71299999999999"/>
    <n v="165.71299999999999"/>
    <n v="8"/>
    <x v="0"/>
    <n v="0"/>
    <n v="0"/>
    <n v="33"/>
    <n v="85"/>
    <n v="0"/>
    <n v="261.83"/>
    <n v="90.86"/>
    <m/>
    <n v="301.53934807651945"/>
    <n v="82.069093865866705"/>
    <n v="0"/>
    <n v="43388.634789999996"/>
    <n v="15056.68318"/>
    <n v="0"/>
    <n v="49968.989987804263"/>
    <n v="13599.915751794369"/>
  </r>
  <r>
    <s v="Regular"/>
    <x v="4"/>
    <x v="1"/>
    <x v="7"/>
    <x v="9"/>
    <x v="0"/>
    <x v="0"/>
    <x v="1"/>
    <x v="11"/>
    <n v="0"/>
    <n v="0"/>
    <n v="167.15199999999999"/>
    <n v="167.15199999999999"/>
    <n v="167.15199999999999"/>
    <n v="167.15199999999999"/>
    <n v="8"/>
    <x v="0"/>
    <n v="0"/>
    <n v="0"/>
    <n v="33"/>
    <n v="85"/>
    <n v="0"/>
    <n v="261.83"/>
    <n v="90.86"/>
    <m/>
    <n v="301.53934807651945"/>
    <n v="82.069093865866705"/>
    <n v="0"/>
    <n v="43765.408159999992"/>
    <n v="15187.430719999998"/>
    <n v="0"/>
    <n v="50402.905109686377"/>
    <n v="13718.013177867351"/>
  </r>
  <r>
    <s v="Regular"/>
    <x v="4"/>
    <x v="1"/>
    <x v="7"/>
    <x v="10"/>
    <x v="0"/>
    <x v="0"/>
    <x v="1"/>
    <x v="0"/>
    <n v="0"/>
    <n v="0"/>
    <n v="1.4530000000000001"/>
    <n v="1.4530000000000001"/>
    <n v="1.4530000000000001"/>
    <n v="1.4530000000000001"/>
    <n v="2"/>
    <x v="0"/>
    <n v="0"/>
    <n v="0"/>
    <n v="40"/>
    <n v="86"/>
    <n v="0"/>
    <n v="285.64"/>
    <n v="99.12"/>
    <m/>
    <n v="328.95201608347577"/>
    <n v="89.529920580945472"/>
    <n v="0"/>
    <n v="415.03492"/>
    <n v="144.02136000000002"/>
    <n v="0"/>
    <n v="477.96727936929034"/>
    <n v="130.086974604113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s v="Regular"/>
    <x v="0"/>
    <x v="0"/>
    <x v="0"/>
    <x v="0"/>
    <x v="0"/>
    <x v="0"/>
    <x v="0"/>
    <x v="0"/>
    <n v="0"/>
    <n v="0"/>
    <n v="8.5280000000000005"/>
    <n v="8.0163200000000003"/>
    <n v="8.5280000000000005"/>
    <n v="8.0163200000000003"/>
    <n v="0"/>
    <s v="CATIVO"/>
    <n v="0"/>
    <n v="0"/>
    <n v="11"/>
    <n v="56"/>
    <n v="0"/>
    <n v="67.52"/>
    <n v="165.21"/>
    <m/>
    <n v="97.29753337033091"/>
    <n v="149.21653430157579"/>
    <n v="0"/>
    <n v="119.08328640000005"/>
    <n v="0"/>
    <n v="126.13631814636125"/>
    <x v="0"/>
  </r>
  <r>
    <s v="Regular"/>
    <x v="0"/>
    <x v="0"/>
    <x v="0"/>
    <x v="0"/>
    <x v="0"/>
    <x v="0"/>
    <x v="0"/>
    <x v="1"/>
    <n v="0"/>
    <n v="0"/>
    <n v="9.7170000000000005"/>
    <n v="9.1339799999999993"/>
    <n v="9.7170000000000005"/>
    <n v="9.1339799999999993"/>
    <n v="0"/>
    <s v="CATIVO"/>
    <n v="0"/>
    <n v="0"/>
    <n v="11"/>
    <n v="56"/>
    <n v="0"/>
    <n v="67.52"/>
    <n v="165.21"/>
    <m/>
    <n v="97.29753337033091"/>
    <n v="149.21653430157579"/>
    <n v="0"/>
    <n v="135.68624460000029"/>
    <n v="0"/>
    <n v="143.72263173407535"/>
    <x v="0"/>
  </r>
  <r>
    <s v="Regular"/>
    <x v="0"/>
    <x v="0"/>
    <x v="0"/>
    <x v="0"/>
    <x v="0"/>
    <x v="0"/>
    <x v="0"/>
    <x v="2"/>
    <n v="0"/>
    <n v="0"/>
    <n v="10.782999999999999"/>
    <n v="10.136019999999998"/>
    <n v="10.782999999999999"/>
    <n v="10.136019999999998"/>
    <n v="0"/>
    <s v="CATIVO"/>
    <n v="0"/>
    <n v="0"/>
    <n v="11"/>
    <n v="56"/>
    <n v="0"/>
    <n v="67.52"/>
    <n v="165.21"/>
    <m/>
    <n v="97.29753337033091"/>
    <n v="149.21653430157579"/>
    <n v="0"/>
    <n v="150.57165540000022"/>
    <n v="0"/>
    <n v="159.48967150237044"/>
    <x v="0"/>
  </r>
  <r>
    <s v="Regular"/>
    <x v="0"/>
    <x v="0"/>
    <x v="0"/>
    <x v="0"/>
    <x v="0"/>
    <x v="0"/>
    <x v="0"/>
    <x v="3"/>
    <n v="0"/>
    <n v="0"/>
    <n v="9.3480000000000008"/>
    <n v="8.7871199999999998"/>
    <n v="9.3480000000000008"/>
    <n v="8.7871199999999998"/>
    <n v="0"/>
    <s v="CATIVO"/>
    <n v="0"/>
    <n v="0"/>
    <n v="11"/>
    <n v="56"/>
    <n v="0"/>
    <n v="67.52"/>
    <n v="165.21"/>
    <m/>
    <n v="97.29753337033091"/>
    <n v="149.21653430157579"/>
    <n v="0"/>
    <n v="130.53360240000023"/>
    <n v="0"/>
    <n v="138.26481027581926"/>
    <x v="0"/>
  </r>
  <r>
    <s v="Regular"/>
    <x v="0"/>
    <x v="0"/>
    <x v="0"/>
    <x v="0"/>
    <x v="0"/>
    <x v="0"/>
    <x v="0"/>
    <x v="4"/>
    <n v="0"/>
    <n v="0"/>
    <n v="9.9629999999999992"/>
    <n v="9.365219999999999"/>
    <n v="9.9629999999999992"/>
    <n v="9.365219999999999"/>
    <n v="0"/>
    <s v="CATIVO"/>
    <n v="0"/>
    <n v="0"/>
    <n v="11"/>
    <n v="56"/>
    <n v="0"/>
    <n v="67.52"/>
    <n v="165.21"/>
    <m/>
    <n v="97.29753337033091"/>
    <n v="149.21653430157579"/>
    <n v="0"/>
    <n v="139.12133940000004"/>
    <n v="0"/>
    <n v="147.36117937291243"/>
    <x v="0"/>
  </r>
  <r>
    <s v="Regular"/>
    <x v="0"/>
    <x v="0"/>
    <x v="0"/>
    <x v="0"/>
    <x v="0"/>
    <x v="0"/>
    <x v="0"/>
    <x v="5"/>
    <n v="0"/>
    <n v="0"/>
    <n v="9.2249999999999996"/>
    <n v="8.6715"/>
    <n v="9.2249999999999996"/>
    <n v="8.6715"/>
    <n v="0"/>
    <s v="CATIVO"/>
    <n v="0"/>
    <n v="0"/>
    <n v="11"/>
    <n v="56"/>
    <n v="0"/>
    <n v="67.52"/>
    <n v="165.21"/>
    <m/>
    <n v="97.29753337033091"/>
    <n v="149.21653430157579"/>
    <n v="0"/>
    <n v="128.81605499999992"/>
    <n v="0"/>
    <n v="136.44553645640028"/>
    <x v="0"/>
  </r>
  <r>
    <s v="Regular"/>
    <x v="0"/>
    <x v="0"/>
    <x v="0"/>
    <x v="0"/>
    <x v="0"/>
    <x v="0"/>
    <x v="0"/>
    <x v="6"/>
    <n v="0"/>
    <n v="0"/>
    <n v="9.3889999999999993"/>
    <n v="8.8256599999999992"/>
    <n v="9.3889999999999993"/>
    <n v="8.8256599999999992"/>
    <n v="0"/>
    <s v="CATIVO"/>
    <n v="0"/>
    <n v="0"/>
    <n v="11"/>
    <n v="56"/>
    <n v="0"/>
    <n v="67.52"/>
    <n v="165.21"/>
    <m/>
    <n v="97.29753337033091"/>
    <n v="149.21653430157579"/>
    <n v="0"/>
    <n v="131.10611820000003"/>
    <n v="0"/>
    <n v="138.87123488229196"/>
    <x v="0"/>
  </r>
  <r>
    <s v="Regular"/>
    <x v="0"/>
    <x v="0"/>
    <x v="0"/>
    <x v="0"/>
    <x v="0"/>
    <x v="0"/>
    <x v="0"/>
    <x v="7"/>
    <n v="0"/>
    <n v="0"/>
    <n v="8.4049999999999994"/>
    <n v="7.9006999999999996"/>
    <n v="8.4049999999999994"/>
    <n v="7.9006999999999996"/>
    <n v="0"/>
    <s v="CATIVO"/>
    <n v="0"/>
    <n v="0"/>
    <n v="11"/>
    <n v="56"/>
    <n v="0"/>
    <n v="67.52"/>
    <n v="165.21"/>
    <m/>
    <n v="97.29753337033091"/>
    <n v="149.21653430157579"/>
    <n v="0"/>
    <n v="117.36573899999993"/>
    <n v="0"/>
    <n v="124.31704432694249"/>
    <x v="0"/>
  </r>
  <r>
    <s v="Regular"/>
    <x v="0"/>
    <x v="0"/>
    <x v="0"/>
    <x v="0"/>
    <x v="0"/>
    <x v="0"/>
    <x v="0"/>
    <x v="8"/>
    <n v="0"/>
    <n v="0"/>
    <n v="8.0359999999999996"/>
    <n v="7.5538400000000001"/>
    <n v="8.0359999999999996"/>
    <n v="7.5538400000000001"/>
    <n v="0"/>
    <s v="CATIVO"/>
    <n v="0"/>
    <n v="0"/>
    <n v="11"/>
    <n v="56"/>
    <n v="0"/>
    <n v="67.52"/>
    <n v="165.21"/>
    <m/>
    <n v="97.29753337033091"/>
    <n v="149.21653430157579"/>
    <n v="0"/>
    <n v="112.21309679999987"/>
    <n v="0"/>
    <n v="118.8592228686864"/>
    <x v="0"/>
  </r>
  <r>
    <s v="Regular"/>
    <x v="0"/>
    <x v="0"/>
    <x v="0"/>
    <x v="0"/>
    <x v="0"/>
    <x v="0"/>
    <x v="0"/>
    <x v="9"/>
    <n v="0"/>
    <n v="0"/>
    <n v="9.3480000000000008"/>
    <n v="8.7871199999999998"/>
    <n v="9.3480000000000008"/>
    <n v="8.7871199999999998"/>
    <n v="0"/>
    <s v="CATIVO"/>
    <n v="0"/>
    <n v="0"/>
    <n v="11"/>
    <n v="56"/>
    <n v="0"/>
    <n v="67.52"/>
    <n v="165.21"/>
    <m/>
    <n v="97.29753337033091"/>
    <n v="149.21653430157579"/>
    <n v="0"/>
    <n v="130.53360240000023"/>
    <n v="0"/>
    <n v="138.26481027581926"/>
    <x v="0"/>
  </r>
  <r>
    <s v="Regular"/>
    <x v="0"/>
    <x v="0"/>
    <x v="0"/>
    <x v="0"/>
    <x v="0"/>
    <x v="0"/>
    <x v="0"/>
    <x v="10"/>
    <n v="0"/>
    <n v="0"/>
    <n v="9.02"/>
    <n v="8.4787999999999997"/>
    <n v="9.02"/>
    <n v="8.4787999999999997"/>
    <n v="0"/>
    <s v="CATIVO"/>
    <n v="0"/>
    <n v="0"/>
    <n v="11"/>
    <n v="56"/>
    <n v="0"/>
    <n v="67.52"/>
    <n v="165.21"/>
    <m/>
    <n v="97.29753337033091"/>
    <n v="149.21653430157579"/>
    <n v="0"/>
    <n v="125.95347599999998"/>
    <n v="0"/>
    <n v="133.41341342403589"/>
    <x v="0"/>
  </r>
  <r>
    <s v="Regular"/>
    <x v="0"/>
    <x v="0"/>
    <x v="0"/>
    <x v="0"/>
    <x v="0"/>
    <x v="0"/>
    <x v="0"/>
    <x v="11"/>
    <n v="0"/>
    <n v="0"/>
    <n v="8.8559999999999999"/>
    <n v="8.3246400000000005"/>
    <n v="8.8559999999999999"/>
    <n v="8.3246400000000005"/>
    <n v="0"/>
    <s v="CATIVO"/>
    <n v="0"/>
    <n v="0"/>
    <n v="11"/>
    <n v="56"/>
    <n v="0"/>
    <n v="67.52"/>
    <n v="165.21"/>
    <m/>
    <n v="97.29753337033091"/>
    <n v="149.21653430157579"/>
    <n v="0"/>
    <n v="123.66341279999986"/>
    <n v="0"/>
    <n v="130.98771499814418"/>
    <x v="0"/>
  </r>
  <r>
    <s v="Regular"/>
    <x v="0"/>
    <x v="0"/>
    <x v="0"/>
    <x v="0"/>
    <x v="0"/>
    <x v="0"/>
    <x v="1"/>
    <x v="0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1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2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3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4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5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6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7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8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9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10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1"/>
    <x v="11"/>
    <n v="55"/>
    <n v="46.75"/>
    <n v="0"/>
    <n v="0"/>
    <n v="0"/>
    <n v="0"/>
    <n v="1"/>
    <s v="CATIVO"/>
    <n v="0"/>
    <n v="7"/>
    <n v="0"/>
    <n v="0"/>
    <n v="32.22"/>
    <n v="0"/>
    <n v="0"/>
    <n v="35.539439517455762"/>
    <m/>
    <m/>
    <n v="265.815"/>
    <n v="0"/>
    <n v="293.20037601901004"/>
    <n v="0"/>
    <x v="0"/>
  </r>
  <r>
    <s v="Regular"/>
    <x v="0"/>
    <x v="0"/>
    <x v="0"/>
    <x v="0"/>
    <x v="0"/>
    <x v="0"/>
    <x v="2"/>
    <x v="0"/>
    <n v="0"/>
    <n v="0"/>
    <n v="0.94299999999999995"/>
    <n v="0.88641999999999987"/>
    <n v="0.94299999999999995"/>
    <n v="0.88641999999999987"/>
    <n v="0"/>
    <s v="CATIVO"/>
    <n v="0"/>
    <n v="0"/>
    <n v="13"/>
    <n v="42"/>
    <n v="0"/>
    <n v="2490.0500000000002"/>
    <n v="165.21"/>
    <m/>
    <n v="2761.3380858956325"/>
    <n v="149.21653430157579"/>
    <n v="0"/>
    <n v="150.23461080000018"/>
    <n v="0"/>
    <n v="164.67918041075825"/>
    <x v="0"/>
  </r>
  <r>
    <s v="Regular"/>
    <x v="0"/>
    <x v="0"/>
    <x v="0"/>
    <x v="0"/>
    <x v="0"/>
    <x v="0"/>
    <x v="2"/>
    <x v="1"/>
    <n v="0"/>
    <n v="0"/>
    <n v="1.0660000000000001"/>
    <n v="1.00204"/>
    <n v="1.0660000000000001"/>
    <n v="1.00204"/>
    <n v="0"/>
    <s v="CATIVO"/>
    <n v="0"/>
    <n v="0"/>
    <n v="13"/>
    <n v="42"/>
    <n v="0"/>
    <n v="2490.0500000000002"/>
    <n v="165.21"/>
    <m/>
    <n v="2761.3380858956325"/>
    <n v="149.21653430157579"/>
    <n v="0"/>
    <n v="169.83042960000006"/>
    <n v="0"/>
    <n v="186.1590735078135"/>
    <x v="0"/>
  </r>
  <r>
    <s v="Regular"/>
    <x v="0"/>
    <x v="0"/>
    <x v="0"/>
    <x v="0"/>
    <x v="0"/>
    <x v="0"/>
    <x v="2"/>
    <x v="2"/>
    <n v="0"/>
    <n v="0"/>
    <n v="1.1479999999999999"/>
    <n v="1.0791199999999999"/>
    <n v="1.1479999999999999"/>
    <n v="1.0791199999999999"/>
    <n v="0"/>
    <s v="CATIVO"/>
    <n v="0"/>
    <n v="0"/>
    <n v="13"/>
    <n v="42"/>
    <n v="0"/>
    <n v="2490.0500000000002"/>
    <n v="165.21"/>
    <m/>
    <n v="2761.3380858956325"/>
    <n v="149.21653430157579"/>
    <n v="0"/>
    <n v="182.89430880000015"/>
    <n v="0"/>
    <n v="200.47900223918384"/>
    <x v="0"/>
  </r>
  <r>
    <s v="Regular"/>
    <x v="0"/>
    <x v="0"/>
    <x v="0"/>
    <x v="0"/>
    <x v="0"/>
    <x v="0"/>
    <x v="2"/>
    <x v="3"/>
    <n v="0"/>
    <n v="0"/>
    <n v="1.107"/>
    <n v="1.0405799999999998"/>
    <n v="1.107"/>
    <n v="1.0405799999999998"/>
    <n v="0"/>
    <s v="CATIVO"/>
    <n v="0"/>
    <n v="0"/>
    <n v="13"/>
    <n v="42"/>
    <n v="0"/>
    <n v="2490.0500000000002"/>
    <n v="165.21"/>
    <m/>
    <n v="2761.3380858956325"/>
    <n v="149.21653430157579"/>
    <n v="0"/>
    <n v="176.36236920000042"/>
    <n v="0"/>
    <n v="193.31903787349898"/>
    <x v="0"/>
  </r>
  <r>
    <s v="Regular"/>
    <x v="0"/>
    <x v="0"/>
    <x v="0"/>
    <x v="0"/>
    <x v="0"/>
    <x v="0"/>
    <x v="2"/>
    <x v="4"/>
    <n v="0"/>
    <n v="0"/>
    <n v="1.107"/>
    <n v="1.0405799999999998"/>
    <n v="1.107"/>
    <n v="1.0405799999999998"/>
    <n v="0"/>
    <s v="CATIVO"/>
    <n v="0"/>
    <n v="0"/>
    <n v="13"/>
    <n v="42"/>
    <n v="0"/>
    <n v="2490.0500000000002"/>
    <n v="165.21"/>
    <m/>
    <n v="2761.3380858956325"/>
    <n v="149.21653430157579"/>
    <n v="0"/>
    <n v="176.36236920000042"/>
    <n v="0"/>
    <n v="193.31903787349898"/>
    <x v="0"/>
  </r>
  <r>
    <s v="Regular"/>
    <x v="0"/>
    <x v="0"/>
    <x v="0"/>
    <x v="0"/>
    <x v="0"/>
    <x v="0"/>
    <x v="2"/>
    <x v="5"/>
    <n v="0"/>
    <n v="0"/>
    <n v="1.0249999999999999"/>
    <n v="0.96350000000000002"/>
    <n v="1.0249999999999999"/>
    <n v="0.96350000000000002"/>
    <n v="0"/>
    <s v="CATIVO"/>
    <n v="0"/>
    <n v="0"/>
    <n v="13"/>
    <n v="42"/>
    <n v="0"/>
    <n v="2490.0500000000002"/>
    <n v="165.21"/>
    <m/>
    <n v="2761.3380858956325"/>
    <n v="149.21653430157579"/>
    <n v="0"/>
    <n v="163.2984899999997"/>
    <n v="0"/>
    <n v="178.99910914212799"/>
    <x v="0"/>
  </r>
  <r>
    <s v="Regular"/>
    <x v="0"/>
    <x v="0"/>
    <x v="0"/>
    <x v="0"/>
    <x v="0"/>
    <x v="0"/>
    <x v="2"/>
    <x v="6"/>
    <n v="0"/>
    <n v="0"/>
    <n v="1.107"/>
    <n v="1.0405800000000001"/>
    <n v="1.107"/>
    <n v="1.0405800000000001"/>
    <n v="0"/>
    <s v="CATIVO"/>
    <n v="0"/>
    <n v="0"/>
    <n v="13"/>
    <n v="42"/>
    <n v="0"/>
    <n v="2490.0500000000002"/>
    <n v="165.21"/>
    <m/>
    <n v="2761.3380858956325"/>
    <n v="149.21653430157579"/>
    <n v="0"/>
    <n v="176.36236919999982"/>
    <n v="0"/>
    <n v="193.31903787349836"/>
    <x v="0"/>
  </r>
  <r>
    <s v="Regular"/>
    <x v="0"/>
    <x v="0"/>
    <x v="0"/>
    <x v="0"/>
    <x v="0"/>
    <x v="0"/>
    <x v="2"/>
    <x v="7"/>
    <n v="0"/>
    <n v="0"/>
    <n v="0.94299999999999995"/>
    <n v="0.88641999999999999"/>
    <n v="0.94299999999999995"/>
    <n v="0.88641999999999999"/>
    <n v="0"/>
    <s v="CATIVO"/>
    <n v="0"/>
    <n v="0"/>
    <n v="13"/>
    <n v="42"/>
    <n v="0"/>
    <n v="2490.0500000000002"/>
    <n v="165.21"/>
    <m/>
    <n v="2761.3380858956325"/>
    <n v="149.21653430157579"/>
    <n v="0"/>
    <n v="150.23461079999993"/>
    <n v="0"/>
    <n v="164.67918041075794"/>
    <x v="0"/>
  </r>
  <r>
    <s v="Regular"/>
    <x v="0"/>
    <x v="0"/>
    <x v="0"/>
    <x v="0"/>
    <x v="0"/>
    <x v="0"/>
    <x v="2"/>
    <x v="8"/>
    <n v="0"/>
    <n v="0"/>
    <n v="0.90200000000000002"/>
    <n v="0.84787999999999997"/>
    <n v="0.90200000000000002"/>
    <n v="0.84787999999999997"/>
    <n v="0"/>
    <s v="CATIVO"/>
    <n v="0"/>
    <n v="0"/>
    <n v="13"/>
    <n v="42"/>
    <n v="0"/>
    <n v="2490.0500000000002"/>
    <n v="165.21"/>
    <m/>
    <n v="2761.3380858956325"/>
    <n v="149.21653430157579"/>
    <n v="0"/>
    <n v="143.70267120000014"/>
    <n v="0"/>
    <n v="157.51921604507308"/>
    <x v="0"/>
  </r>
  <r>
    <s v="Regular"/>
    <x v="0"/>
    <x v="0"/>
    <x v="0"/>
    <x v="0"/>
    <x v="0"/>
    <x v="0"/>
    <x v="2"/>
    <x v="9"/>
    <n v="0"/>
    <n v="0"/>
    <n v="0.90200000000000002"/>
    <n v="0.84787999999999997"/>
    <n v="0.90200000000000002"/>
    <n v="0.84787999999999997"/>
    <n v="0"/>
    <s v="CATIVO"/>
    <n v="0"/>
    <n v="0"/>
    <n v="13"/>
    <n v="42"/>
    <n v="0"/>
    <n v="2490.0500000000002"/>
    <n v="165.21"/>
    <m/>
    <n v="2761.3380858956325"/>
    <n v="149.21653430157579"/>
    <n v="0"/>
    <n v="143.70267120000014"/>
    <n v="0"/>
    <n v="157.51921604507308"/>
    <x v="0"/>
  </r>
  <r>
    <s v="Regular"/>
    <x v="0"/>
    <x v="0"/>
    <x v="0"/>
    <x v="0"/>
    <x v="0"/>
    <x v="0"/>
    <x v="2"/>
    <x v="10"/>
    <n v="0"/>
    <n v="0"/>
    <n v="1.0660000000000001"/>
    <n v="1.00204"/>
    <n v="1.0660000000000001"/>
    <n v="1.00204"/>
    <n v="0"/>
    <s v="CATIVO"/>
    <n v="0"/>
    <n v="0"/>
    <n v="13"/>
    <n v="42"/>
    <n v="0"/>
    <n v="2490.0500000000002"/>
    <n v="165.21"/>
    <m/>
    <n v="2761.3380858956325"/>
    <n v="149.21653430157579"/>
    <n v="0"/>
    <n v="169.83042960000006"/>
    <n v="0"/>
    <n v="186.1590735078135"/>
    <x v="0"/>
  </r>
  <r>
    <s v="Regular"/>
    <x v="0"/>
    <x v="0"/>
    <x v="0"/>
    <x v="0"/>
    <x v="0"/>
    <x v="0"/>
    <x v="2"/>
    <x v="11"/>
    <n v="0"/>
    <n v="0"/>
    <n v="0.94299999999999995"/>
    <n v="0.88641999999999999"/>
    <n v="0.94299999999999995"/>
    <n v="0.88641999999999999"/>
    <n v="0"/>
    <s v="CATIVO"/>
    <n v="0"/>
    <n v="0"/>
    <n v="13"/>
    <n v="42"/>
    <n v="0"/>
    <n v="2490.0500000000002"/>
    <n v="165.21"/>
    <m/>
    <n v="2761.3380858956325"/>
    <n v="149.21653430157579"/>
    <n v="0"/>
    <n v="150.23461079999993"/>
    <n v="0"/>
    <n v="164.67918041075794"/>
    <x v="0"/>
  </r>
  <r>
    <s v="Regular"/>
    <x v="1"/>
    <x v="1"/>
    <x v="1"/>
    <x v="1"/>
    <x v="0"/>
    <x v="0"/>
    <x v="1"/>
    <x v="0"/>
    <n v="0"/>
    <n v="0"/>
    <n v="821.30100000000004"/>
    <n v="821.30100000000004"/>
    <n v="821.30100000000004"/>
    <n v="821.30100000000004"/>
    <n v="4410"/>
    <s v="CATIVO"/>
    <n v="0"/>
    <n v="0"/>
    <n v="20"/>
    <n v="51"/>
    <n v="0"/>
    <n v="476.06"/>
    <n v="165.21"/>
    <m/>
    <n v="548.25336013912624"/>
    <n v="149.21653430157579"/>
    <n v="0"/>
    <n v="0"/>
    <n v="0"/>
    <n v="0"/>
    <x v="1"/>
  </r>
  <r>
    <s v="Regular"/>
    <x v="1"/>
    <x v="1"/>
    <x v="1"/>
    <x v="2"/>
    <x v="0"/>
    <x v="0"/>
    <x v="1"/>
    <x v="0"/>
    <n v="0"/>
    <n v="0"/>
    <n v="5.91"/>
    <n v="5.91"/>
    <n v="5.91"/>
    <n v="5.91"/>
    <n v="11"/>
    <s v="CATIVO"/>
    <n v="0"/>
    <n v="0"/>
    <n v="8"/>
    <n v="47"/>
    <n v="0"/>
    <n v="142.83000000000001"/>
    <n v="57.82"/>
    <m/>
    <n v="154.62184784882203"/>
    <n v="52.225787005551524"/>
    <n v="0"/>
    <n v="2202.3023999999996"/>
    <n v="0"/>
    <n v="2270.300540837361"/>
    <x v="2"/>
  </r>
  <r>
    <s v="Regular"/>
    <x v="1"/>
    <x v="1"/>
    <x v="1"/>
    <x v="2"/>
    <x v="0"/>
    <x v="0"/>
    <x v="1"/>
    <x v="1"/>
    <n v="0"/>
    <n v="0"/>
    <n v="5.97"/>
    <n v="5.97"/>
    <n v="5.97"/>
    <n v="5.97"/>
    <n v="14"/>
    <s v="CATIVO"/>
    <n v="0"/>
    <n v="0"/>
    <n v="8"/>
    <n v="47"/>
    <n v="0"/>
    <n v="142.83000000000001"/>
    <n v="57.82"/>
    <m/>
    <n v="154.62184784882203"/>
    <n v="52.225787005551524"/>
    <n v="0"/>
    <n v="2224.6607999999997"/>
    <n v="0"/>
    <n v="2293.3492772925624"/>
    <x v="2"/>
  </r>
  <r>
    <s v="Regular"/>
    <x v="1"/>
    <x v="1"/>
    <x v="1"/>
    <x v="2"/>
    <x v="0"/>
    <x v="0"/>
    <x v="1"/>
    <x v="2"/>
    <n v="0"/>
    <n v="0"/>
    <n v="5.97"/>
    <n v="5.97"/>
    <n v="5.97"/>
    <n v="5.97"/>
    <n v="11"/>
    <s v="CATIVO"/>
    <n v="0"/>
    <n v="0"/>
    <n v="8"/>
    <n v="47"/>
    <n v="0"/>
    <n v="142.83000000000001"/>
    <n v="57.82"/>
    <m/>
    <n v="154.62184784882203"/>
    <n v="52.225787005551524"/>
    <n v="0"/>
    <n v="2224.6607999999997"/>
    <n v="0"/>
    <n v="2293.3492772925624"/>
    <x v="2"/>
  </r>
  <r>
    <s v="Regular"/>
    <x v="1"/>
    <x v="1"/>
    <x v="1"/>
    <x v="2"/>
    <x v="0"/>
    <x v="0"/>
    <x v="1"/>
    <x v="3"/>
    <n v="0"/>
    <n v="0"/>
    <n v="6.3"/>
    <n v="6.3"/>
    <n v="6.3"/>
    <n v="6.3"/>
    <n v="8"/>
    <s v="CATIVO"/>
    <n v="0"/>
    <n v="0"/>
    <n v="8"/>
    <n v="47"/>
    <n v="0"/>
    <n v="142.83000000000001"/>
    <n v="57.82"/>
    <m/>
    <n v="154.62184784882203"/>
    <n v="52.225787005551524"/>
    <n v="0"/>
    <n v="2347.6319999999996"/>
    <n v="0"/>
    <n v="2420.1173277961711"/>
    <x v="2"/>
  </r>
  <r>
    <s v="Regular"/>
    <x v="1"/>
    <x v="1"/>
    <x v="1"/>
    <x v="2"/>
    <x v="0"/>
    <x v="0"/>
    <x v="1"/>
    <x v="4"/>
    <n v="0"/>
    <n v="0"/>
    <n v="6.39"/>
    <n v="6.39"/>
    <n v="6.39"/>
    <n v="6.39"/>
    <n v="6"/>
    <s v="CATIVO"/>
    <n v="0"/>
    <n v="0"/>
    <n v="8"/>
    <n v="47"/>
    <n v="0"/>
    <n v="142.83000000000001"/>
    <n v="57.82"/>
    <m/>
    <n v="154.62184784882203"/>
    <n v="52.225787005551524"/>
    <n v="0"/>
    <n v="2381.1695999999993"/>
    <n v="0"/>
    <n v="2454.6904324789739"/>
    <x v="2"/>
  </r>
  <r>
    <s v="Regular"/>
    <x v="1"/>
    <x v="1"/>
    <x v="1"/>
    <x v="2"/>
    <x v="0"/>
    <x v="0"/>
    <x v="1"/>
    <x v="5"/>
    <n v="0"/>
    <n v="0"/>
    <n v="12.179"/>
    <n v="12.179"/>
    <n v="12.179"/>
    <n v="12.179"/>
    <n v="19"/>
    <s v="CATIVO"/>
    <n v="0"/>
    <n v="0"/>
    <n v="8"/>
    <n v="47"/>
    <n v="0"/>
    <n v="142.83000000000001"/>
    <n v="57.82"/>
    <m/>
    <n v="154.62184784882203"/>
    <n v="52.225787005551524"/>
    <n v="0"/>
    <n v="4538.3825599999991"/>
    <n v="0"/>
    <n v="4678.5093547983452"/>
    <x v="2"/>
  </r>
  <r>
    <s v="Regular"/>
    <x v="1"/>
    <x v="1"/>
    <x v="1"/>
    <x v="2"/>
    <x v="0"/>
    <x v="0"/>
    <x v="1"/>
    <x v="6"/>
    <n v="0"/>
    <n v="0"/>
    <n v="13.053000000000001"/>
    <n v="13.053000000000001"/>
    <n v="13.053000000000001"/>
    <n v="13.053000000000001"/>
    <n v="23"/>
    <s v="CATIVO"/>
    <n v="0"/>
    <n v="0"/>
    <n v="8"/>
    <n v="47"/>
    <n v="0"/>
    <n v="142.83000000000001"/>
    <n v="57.82"/>
    <m/>
    <n v="154.62184784882203"/>
    <n v="52.225787005551524"/>
    <n v="0"/>
    <n v="4864.069919999999"/>
    <n v="0"/>
    <n v="5014.2526158291157"/>
    <x v="2"/>
  </r>
  <r>
    <s v="Regular"/>
    <x v="1"/>
    <x v="1"/>
    <x v="1"/>
    <x v="2"/>
    <x v="0"/>
    <x v="0"/>
    <x v="1"/>
    <x v="7"/>
    <n v="0"/>
    <n v="0"/>
    <n v="13.14"/>
    <n v="13.14"/>
    <n v="13.14"/>
    <n v="13.14"/>
    <n v="24"/>
    <s v="CATIVO"/>
    <n v="0"/>
    <n v="0"/>
    <n v="8"/>
    <n v="47"/>
    <n v="0"/>
    <n v="142.83000000000001"/>
    <n v="57.82"/>
    <m/>
    <n v="154.62184784882203"/>
    <n v="52.225787005551524"/>
    <n v="0"/>
    <n v="4896.489599999999"/>
    <n v="0"/>
    <n v="5047.6732836891579"/>
    <x v="2"/>
  </r>
  <r>
    <s v="Regular"/>
    <x v="1"/>
    <x v="1"/>
    <x v="1"/>
    <x v="2"/>
    <x v="0"/>
    <x v="0"/>
    <x v="1"/>
    <x v="8"/>
    <n v="0"/>
    <n v="0"/>
    <n v="12.45"/>
    <n v="12.45"/>
    <n v="12.45"/>
    <n v="12.45"/>
    <n v="33"/>
    <s v="CATIVO"/>
    <n v="0"/>
    <n v="0"/>
    <n v="8"/>
    <n v="47"/>
    <n v="0"/>
    <n v="142.83000000000001"/>
    <n v="57.82"/>
    <m/>
    <n v="154.62184784882203"/>
    <n v="52.225787005551524"/>
    <n v="0"/>
    <n v="4639.3679999999986"/>
    <n v="0"/>
    <n v="4782.6128144543381"/>
    <x v="2"/>
  </r>
  <r>
    <s v="Regular"/>
    <x v="1"/>
    <x v="1"/>
    <x v="1"/>
    <x v="2"/>
    <x v="0"/>
    <x v="0"/>
    <x v="1"/>
    <x v="9"/>
    <n v="0"/>
    <n v="0"/>
    <n v="10.65"/>
    <n v="10.65"/>
    <n v="10.65"/>
    <n v="10.65"/>
    <n v="24"/>
    <s v="CATIVO"/>
    <n v="0"/>
    <n v="0"/>
    <n v="8"/>
    <n v="47"/>
    <n v="0"/>
    <n v="142.83000000000001"/>
    <n v="57.82"/>
    <m/>
    <n v="154.62184784882203"/>
    <n v="52.225787005551524"/>
    <n v="0"/>
    <n v="3968.6159999999995"/>
    <n v="0"/>
    <n v="4091.15072079829"/>
    <x v="2"/>
  </r>
  <r>
    <s v="Regular"/>
    <x v="1"/>
    <x v="1"/>
    <x v="1"/>
    <x v="2"/>
    <x v="0"/>
    <x v="0"/>
    <x v="1"/>
    <x v="10"/>
    <n v="0"/>
    <n v="0"/>
    <n v="9.48"/>
    <n v="9.48"/>
    <n v="9.48"/>
    <n v="9.48"/>
    <n v="18"/>
    <s v="CATIVO"/>
    <n v="0"/>
    <n v="0"/>
    <n v="8"/>
    <n v="47"/>
    <n v="0"/>
    <n v="142.83000000000001"/>
    <n v="57.82"/>
    <m/>
    <n v="154.62184784882203"/>
    <n v="52.225787005551524"/>
    <n v="0"/>
    <n v="3532.6271999999994"/>
    <n v="0"/>
    <n v="3641.7003599218579"/>
    <x v="2"/>
  </r>
  <r>
    <s v="Regular"/>
    <x v="1"/>
    <x v="1"/>
    <x v="1"/>
    <x v="2"/>
    <x v="0"/>
    <x v="0"/>
    <x v="1"/>
    <x v="11"/>
    <n v="0"/>
    <n v="0"/>
    <n v="9.6300000000000008"/>
    <n v="9.6300000000000008"/>
    <n v="9.6300000000000008"/>
    <n v="9.6300000000000008"/>
    <n v="18"/>
    <s v="CATIVO"/>
    <n v="0"/>
    <n v="0"/>
    <n v="8"/>
    <n v="47"/>
    <n v="0"/>
    <n v="142.83000000000001"/>
    <n v="57.82"/>
    <m/>
    <n v="154.62184784882203"/>
    <n v="52.225787005551524"/>
    <n v="0"/>
    <n v="3588.5231999999996"/>
    <n v="0"/>
    <n v="3699.3222010598624"/>
    <x v="2"/>
  </r>
  <r>
    <s v="Regular"/>
    <x v="1"/>
    <x v="1"/>
    <x v="1"/>
    <x v="3"/>
    <x v="0"/>
    <x v="0"/>
    <x v="1"/>
    <x v="0"/>
    <n v="0"/>
    <n v="0"/>
    <n v="12.31"/>
    <n v="12.31"/>
    <n v="12.31"/>
    <n v="12.31"/>
    <n v="27"/>
    <s v="CATIVO"/>
    <n v="0"/>
    <n v="0"/>
    <n v="14"/>
    <n v="68"/>
    <n v="0"/>
    <n v="244.85"/>
    <n v="99.12"/>
    <m/>
    <n v="265.06602488369492"/>
    <n v="89.529920580945472"/>
    <n v="0"/>
    <n v="2822.9291999999991"/>
    <n v="0"/>
    <n v="2910.0507257798167"/>
    <x v="2"/>
  </r>
  <r>
    <s v="Regular"/>
    <x v="1"/>
    <x v="1"/>
    <x v="1"/>
    <x v="3"/>
    <x v="0"/>
    <x v="0"/>
    <x v="1"/>
    <x v="1"/>
    <n v="0"/>
    <n v="0"/>
    <n v="11.971"/>
    <n v="11.971"/>
    <n v="11.971"/>
    <n v="11.971"/>
    <n v="40"/>
    <s v="CATIVO"/>
    <n v="0"/>
    <n v="0"/>
    <n v="14"/>
    <n v="68"/>
    <n v="0"/>
    <n v="244.85"/>
    <n v="99.12"/>
    <m/>
    <n v="265.06602488369492"/>
    <n v="89.529920580945472"/>
    <n v="0"/>
    <n v="2745.1897199999994"/>
    <n v="0"/>
    <n v="2829.9120421048078"/>
    <x v="2"/>
  </r>
  <r>
    <s v="Regular"/>
    <x v="1"/>
    <x v="1"/>
    <x v="1"/>
    <x v="3"/>
    <x v="0"/>
    <x v="0"/>
    <x v="1"/>
    <x v="2"/>
    <n v="0"/>
    <n v="0"/>
    <n v="12.382"/>
    <n v="12.382"/>
    <n v="12.382"/>
    <n v="12.382"/>
    <n v="26"/>
    <s v="CATIVO"/>
    <n v="0"/>
    <n v="0"/>
    <n v="14"/>
    <n v="68"/>
    <n v="0"/>
    <n v="244.85"/>
    <n v="99.12"/>
    <m/>
    <n v="265.06602488369492"/>
    <n v="89.529920580945472"/>
    <n v="0"/>
    <n v="2839.440239999999"/>
    <n v="0"/>
    <n v="2927.0713311621193"/>
    <x v="2"/>
  </r>
  <r>
    <s v="Regular"/>
    <x v="1"/>
    <x v="1"/>
    <x v="1"/>
    <x v="3"/>
    <x v="0"/>
    <x v="0"/>
    <x v="1"/>
    <x v="3"/>
    <n v="0"/>
    <n v="0"/>
    <n v="13.146000000000001"/>
    <n v="13.146000000000001"/>
    <n v="13.146000000000001"/>
    <n v="13.146000000000001"/>
    <n v="26"/>
    <s v="CATIVO"/>
    <n v="0"/>
    <n v="0"/>
    <n v="14"/>
    <n v="68"/>
    <n v="0"/>
    <n v="244.85"/>
    <n v="99.12"/>
    <m/>
    <n v="265.06602488369492"/>
    <n v="89.529920580945472"/>
    <n v="0"/>
    <n v="3014.6407199999994"/>
    <n v="0"/>
    <n v="3107.6788660521097"/>
    <x v="2"/>
  </r>
  <r>
    <s v="Regular"/>
    <x v="1"/>
    <x v="1"/>
    <x v="1"/>
    <x v="3"/>
    <x v="0"/>
    <x v="0"/>
    <x v="1"/>
    <x v="4"/>
    <n v="0"/>
    <n v="0"/>
    <n v="13.582000000000001"/>
    <n v="13.582000000000001"/>
    <n v="13.582000000000001"/>
    <n v="13.582000000000001"/>
    <n v="23"/>
    <s v="CATIVO"/>
    <n v="0"/>
    <n v="0"/>
    <n v="14"/>
    <n v="68"/>
    <n v="0"/>
    <n v="244.85"/>
    <n v="99.12"/>
    <m/>
    <n v="265.06602488369492"/>
    <n v="89.529920580945472"/>
    <n v="0"/>
    <n v="3114.6242399999992"/>
    <n v="0"/>
    <n v="3210.7480875338319"/>
    <x v="2"/>
  </r>
  <r>
    <s v="Regular"/>
    <x v="1"/>
    <x v="1"/>
    <x v="1"/>
    <x v="3"/>
    <x v="0"/>
    <x v="0"/>
    <x v="1"/>
    <x v="5"/>
    <n v="0"/>
    <n v="0"/>
    <n v="24.603000000000002"/>
    <n v="24.603000000000002"/>
    <n v="24.603000000000002"/>
    <n v="24.603000000000002"/>
    <n v="75"/>
    <s v="CATIVO"/>
    <n v="0"/>
    <n v="0"/>
    <n v="14"/>
    <n v="68"/>
    <n v="0"/>
    <n v="244.85"/>
    <n v="99.12"/>
    <m/>
    <n v="265.06602488369492"/>
    <n v="89.529920580945472"/>
    <n v="0"/>
    <n v="5641.9599599999992"/>
    <n v="0"/>
    <n v="5816.082697511034"/>
    <x v="2"/>
  </r>
  <r>
    <s v="Regular"/>
    <x v="1"/>
    <x v="1"/>
    <x v="1"/>
    <x v="3"/>
    <x v="0"/>
    <x v="0"/>
    <x v="1"/>
    <x v="6"/>
    <n v="0"/>
    <n v="0"/>
    <n v="26.404"/>
    <n v="26.404"/>
    <n v="26.404"/>
    <n v="26.404"/>
    <n v="77"/>
    <s v="CATIVO"/>
    <n v="0"/>
    <n v="0"/>
    <n v="14"/>
    <n v="68"/>
    <n v="0"/>
    <n v="244.85"/>
    <n v="99.12"/>
    <m/>
    <n v="265.06602488369492"/>
    <n v="89.529920580945472"/>
    <n v="0"/>
    <n v="6054.9652799999985"/>
    <n v="0"/>
    <n v="6241.8342293655787"/>
    <x v="2"/>
  </r>
  <r>
    <s v="Regular"/>
    <x v="1"/>
    <x v="1"/>
    <x v="1"/>
    <x v="3"/>
    <x v="0"/>
    <x v="0"/>
    <x v="1"/>
    <x v="7"/>
    <n v="0"/>
    <n v="0"/>
    <n v="26.151"/>
    <n v="26.151"/>
    <n v="26.151"/>
    <n v="26.151"/>
    <n v="88"/>
    <s v="CATIVO"/>
    <n v="0"/>
    <n v="0"/>
    <n v="14"/>
    <n v="68"/>
    <n v="0"/>
    <n v="244.85"/>
    <n v="99.12"/>
    <m/>
    <n v="265.06602488369492"/>
    <n v="89.529920580945472"/>
    <n v="0"/>
    <n v="5996.9473199999984"/>
    <n v="0"/>
    <n v="6182.0257132305433"/>
    <x v="2"/>
  </r>
  <r>
    <s v="Regular"/>
    <x v="1"/>
    <x v="1"/>
    <x v="1"/>
    <x v="3"/>
    <x v="0"/>
    <x v="0"/>
    <x v="1"/>
    <x v="8"/>
    <n v="0"/>
    <n v="0"/>
    <n v="24.312000000000001"/>
    <n v="24.312000000000001"/>
    <n v="24.312000000000001"/>
    <n v="24.312000000000001"/>
    <n v="83"/>
    <s v="CATIVO"/>
    <n v="0"/>
    <n v="0"/>
    <n v="14"/>
    <n v="68"/>
    <n v="0"/>
    <n v="244.85"/>
    <n v="99.12"/>
    <m/>
    <n v="265.06602488369492"/>
    <n v="89.529920580945472"/>
    <n v="0"/>
    <n v="5575.2278399999987"/>
    <n v="0"/>
    <n v="5747.2910840908935"/>
    <x v="2"/>
  </r>
  <r>
    <s v="Regular"/>
    <x v="1"/>
    <x v="1"/>
    <x v="1"/>
    <x v="3"/>
    <x v="0"/>
    <x v="0"/>
    <x v="1"/>
    <x v="9"/>
    <n v="0"/>
    <n v="0"/>
    <n v="21.07"/>
    <n v="21.07"/>
    <n v="21.07"/>
    <n v="21.07"/>
    <n v="74"/>
    <s v="CATIVO"/>
    <n v="0"/>
    <n v="0"/>
    <n v="14"/>
    <n v="68"/>
    <n v="0"/>
    <n v="244.85"/>
    <n v="99.12"/>
    <m/>
    <n v="265.06602488369492"/>
    <n v="89.529920580945472"/>
    <n v="0"/>
    <n v="4831.7723999999989"/>
    <n v="0"/>
    <n v="4980.8910472933176"/>
    <x v="2"/>
  </r>
  <r>
    <s v="Regular"/>
    <x v="1"/>
    <x v="1"/>
    <x v="1"/>
    <x v="3"/>
    <x v="0"/>
    <x v="0"/>
    <x v="1"/>
    <x v="10"/>
    <n v="0"/>
    <n v="0"/>
    <n v="18.611000000000001"/>
    <n v="18.611000000000001"/>
    <n v="18.611000000000001"/>
    <n v="18.611000000000001"/>
    <n v="79"/>
    <s v="CATIVO"/>
    <n v="0"/>
    <n v="0"/>
    <n v="14"/>
    <n v="68"/>
    <n v="0"/>
    <n v="244.85"/>
    <n v="99.12"/>
    <m/>
    <n v="265.06602488369492"/>
    <n v="89.529920580945472"/>
    <n v="0"/>
    <n v="4267.8745199999994"/>
    <n v="0"/>
    <n v="4399.5900940282836"/>
    <x v="2"/>
  </r>
  <r>
    <s v="Regular"/>
    <x v="1"/>
    <x v="1"/>
    <x v="1"/>
    <x v="3"/>
    <x v="0"/>
    <x v="0"/>
    <x v="1"/>
    <x v="11"/>
    <n v="0"/>
    <n v="0"/>
    <n v="19.117999999999999"/>
    <n v="19.117999999999999"/>
    <n v="19.117999999999999"/>
    <n v="19.117999999999999"/>
    <n v="68"/>
    <s v="CATIVO"/>
    <n v="0"/>
    <n v="0"/>
    <n v="14"/>
    <n v="68"/>
    <n v="0"/>
    <n v="244.85"/>
    <n v="99.12"/>
    <m/>
    <n v="265.06602488369492"/>
    <n v="89.529920580945472"/>
    <n v="0"/>
    <n v="4384.1397599999982"/>
    <n v="0"/>
    <n v="4519.4435235953315"/>
    <x v="2"/>
  </r>
  <r>
    <s v="Regular"/>
    <x v="1"/>
    <x v="1"/>
    <x v="1"/>
    <x v="4"/>
    <x v="0"/>
    <x v="0"/>
    <x v="1"/>
    <x v="0"/>
    <n v="0"/>
    <n v="0"/>
    <n v="12.941000000000001"/>
    <n v="12.941000000000001"/>
    <n v="12.941000000000001"/>
    <n v="12.941000000000001"/>
    <n v="91"/>
    <s v="CATIVO"/>
    <n v="0"/>
    <n v="0"/>
    <n v="12"/>
    <n v="64"/>
    <n v="0"/>
    <n v="367.27"/>
    <n v="148.69"/>
    <m/>
    <n v="397.59903732554244"/>
    <n v="134.29488087141823"/>
    <n v="0"/>
    <n v="741.90752999999984"/>
    <n v="0"/>
    <n v="764.80435504298555"/>
    <x v="2"/>
  </r>
  <r>
    <s v="Regular"/>
    <x v="1"/>
    <x v="1"/>
    <x v="1"/>
    <x v="4"/>
    <x v="0"/>
    <x v="0"/>
    <x v="1"/>
    <x v="1"/>
    <n v="0"/>
    <n v="0"/>
    <n v="10.238"/>
    <n v="10.238"/>
    <n v="10.238"/>
    <n v="10.238"/>
    <n v="104"/>
    <s v="CATIVO"/>
    <n v="0"/>
    <n v="0"/>
    <n v="12"/>
    <n v="64"/>
    <n v="0"/>
    <n v="367.27"/>
    <n v="148.69"/>
    <m/>
    <n v="397.59903732554244"/>
    <n v="134.29488087141823"/>
    <n v="0"/>
    <n v="586.94453999999985"/>
    <n v="0"/>
    <n v="605.05888161116491"/>
    <x v="2"/>
  </r>
  <r>
    <s v="Regular"/>
    <x v="1"/>
    <x v="1"/>
    <x v="1"/>
    <x v="4"/>
    <x v="0"/>
    <x v="0"/>
    <x v="1"/>
    <x v="2"/>
    <n v="0"/>
    <n v="0"/>
    <n v="12.458"/>
    <n v="12.458"/>
    <n v="12.458"/>
    <n v="12.458"/>
    <n v="105"/>
    <s v="CATIVO"/>
    <n v="0"/>
    <n v="0"/>
    <n v="12"/>
    <n v="64"/>
    <n v="0"/>
    <n v="367.27"/>
    <n v="148.69"/>
    <m/>
    <n v="397.59903732554244"/>
    <n v="134.29488087141823"/>
    <n v="0"/>
    <n v="714.21713999999986"/>
    <n v="0"/>
    <n v="736.2593814330819"/>
    <x v="2"/>
  </r>
  <r>
    <s v="Regular"/>
    <x v="1"/>
    <x v="1"/>
    <x v="1"/>
    <x v="4"/>
    <x v="0"/>
    <x v="0"/>
    <x v="1"/>
    <x v="3"/>
    <n v="0"/>
    <n v="0"/>
    <n v="15.427"/>
    <n v="15.427"/>
    <n v="15.427"/>
    <n v="15.427"/>
    <n v="97"/>
    <s v="CATIVO"/>
    <n v="0"/>
    <n v="0"/>
    <n v="12"/>
    <n v="64"/>
    <n v="0"/>
    <n v="367.27"/>
    <n v="148.69"/>
    <m/>
    <n v="397.59903732554244"/>
    <n v="134.29488087141823"/>
    <n v="0"/>
    <n v="884.42990999999972"/>
    <n v="0"/>
    <n v="911.72527511383487"/>
    <x v="2"/>
  </r>
  <r>
    <s v="Regular"/>
    <x v="1"/>
    <x v="1"/>
    <x v="1"/>
    <x v="4"/>
    <x v="0"/>
    <x v="0"/>
    <x v="1"/>
    <x v="4"/>
    <n v="0"/>
    <n v="0"/>
    <n v="16.670999999999999"/>
    <n v="16.670999999999999"/>
    <n v="16.670999999999999"/>
    <n v="16.670999999999999"/>
    <n v="93"/>
    <s v="CATIVO"/>
    <n v="0"/>
    <n v="0"/>
    <n v="12"/>
    <n v="64"/>
    <n v="0"/>
    <n v="367.27"/>
    <n v="148.69"/>
    <m/>
    <n v="397.59903732554244"/>
    <n v="134.29488087141823"/>
    <n v="0"/>
    <n v="955.74842999999964"/>
    <n v="0"/>
    <n v="985.2448344735036"/>
    <x v="2"/>
  </r>
  <r>
    <s v="Regular"/>
    <x v="1"/>
    <x v="1"/>
    <x v="1"/>
    <x v="4"/>
    <x v="0"/>
    <x v="0"/>
    <x v="1"/>
    <x v="5"/>
    <n v="0"/>
    <n v="0"/>
    <n v="26.309000000000001"/>
    <n v="26.309000000000001"/>
    <n v="26.309000000000001"/>
    <n v="26.309000000000001"/>
    <n v="192"/>
    <s v="CATIVO"/>
    <n v="0"/>
    <n v="0"/>
    <n v="12"/>
    <n v="64"/>
    <n v="0"/>
    <n v="367.27"/>
    <n v="148.69"/>
    <m/>
    <n v="397.59903732554244"/>
    <n v="134.29488087141823"/>
    <n v="0"/>
    <n v="1508.2949699999997"/>
    <n v="0"/>
    <n v="1554.8441215382047"/>
    <x v="2"/>
  </r>
  <r>
    <s v="Regular"/>
    <x v="1"/>
    <x v="1"/>
    <x v="1"/>
    <x v="4"/>
    <x v="0"/>
    <x v="0"/>
    <x v="1"/>
    <x v="6"/>
    <n v="0"/>
    <n v="0"/>
    <n v="28.52"/>
    <n v="28.52"/>
    <n v="28.52"/>
    <n v="28.52"/>
    <n v="197"/>
    <s v="CATIVO"/>
    <n v="0"/>
    <n v="0"/>
    <n v="12"/>
    <n v="64"/>
    <n v="0"/>
    <n v="367.27"/>
    <n v="148.69"/>
    <m/>
    <n v="397.59903732554244"/>
    <n v="134.29488087141823"/>
    <n v="0"/>
    <n v="1635.0515999999996"/>
    <n v="0"/>
    <n v="1685.5127274419247"/>
    <x v="2"/>
  </r>
  <r>
    <s v="Regular"/>
    <x v="1"/>
    <x v="1"/>
    <x v="1"/>
    <x v="4"/>
    <x v="0"/>
    <x v="0"/>
    <x v="1"/>
    <x v="7"/>
    <n v="0"/>
    <n v="0"/>
    <n v="26.978999999999999"/>
    <n v="26.978999999999999"/>
    <n v="26.978999999999999"/>
    <n v="26.978999999999999"/>
    <n v="199"/>
    <s v="CATIVO"/>
    <n v="0"/>
    <n v="0"/>
    <n v="12"/>
    <n v="64"/>
    <n v="0"/>
    <n v="367.27"/>
    <n v="148.69"/>
    <m/>
    <n v="397.59903732554244"/>
    <n v="134.29488087141823"/>
    <n v="0"/>
    <n v="1546.7060699999995"/>
    <n v="0"/>
    <n v="1594.4406687817561"/>
    <x v="2"/>
  </r>
  <r>
    <s v="Regular"/>
    <x v="1"/>
    <x v="1"/>
    <x v="1"/>
    <x v="4"/>
    <x v="0"/>
    <x v="0"/>
    <x v="1"/>
    <x v="8"/>
    <n v="0"/>
    <n v="0"/>
    <n v="22.402999999999999"/>
    <n v="22.402999999999999"/>
    <n v="22.402999999999999"/>
    <n v="22.402999999999999"/>
    <n v="215"/>
    <s v="CATIVO"/>
    <n v="0"/>
    <n v="0"/>
    <n v="12"/>
    <n v="64"/>
    <n v="0"/>
    <n v="367.27"/>
    <n v="148.69"/>
    <m/>
    <n v="397.59903732554244"/>
    <n v="134.29488087141823"/>
    <n v="0"/>
    <n v="1284.3639899999996"/>
    <n v="0"/>
    <n v="1324.0021610407234"/>
    <x v="2"/>
  </r>
  <r>
    <s v="Regular"/>
    <x v="1"/>
    <x v="1"/>
    <x v="1"/>
    <x v="4"/>
    <x v="0"/>
    <x v="0"/>
    <x v="1"/>
    <x v="9"/>
    <n v="0"/>
    <n v="0"/>
    <n v="22.442"/>
    <n v="22.442"/>
    <n v="22.442"/>
    <n v="22.442"/>
    <n v="151"/>
    <s v="CATIVO"/>
    <n v="0"/>
    <n v="0"/>
    <n v="12"/>
    <n v="64"/>
    <n v="0"/>
    <n v="367.27"/>
    <n v="148.69"/>
    <m/>
    <n v="397.59903732554244"/>
    <n v="134.29488087141823"/>
    <n v="0"/>
    <n v="1286.5998599999996"/>
    <n v="0"/>
    <n v="1326.3070346862437"/>
    <x v="2"/>
  </r>
  <r>
    <s v="Regular"/>
    <x v="1"/>
    <x v="1"/>
    <x v="1"/>
    <x v="4"/>
    <x v="0"/>
    <x v="0"/>
    <x v="1"/>
    <x v="10"/>
    <n v="0"/>
    <n v="0"/>
    <n v="16.286000000000001"/>
    <n v="16.286000000000001"/>
    <n v="16.286000000000001"/>
    <n v="16.286000000000001"/>
    <n v="159"/>
    <s v="CATIVO"/>
    <n v="0"/>
    <n v="0"/>
    <n v="12"/>
    <n v="64"/>
    <n v="0"/>
    <n v="367.27"/>
    <n v="148.69"/>
    <m/>
    <n v="397.59903732554244"/>
    <n v="134.29488087141823"/>
    <n v="0"/>
    <n v="933.67637999999977"/>
    <n v="0"/>
    <n v="962.49159463952265"/>
    <x v="2"/>
  </r>
  <r>
    <s v="Regular"/>
    <x v="1"/>
    <x v="1"/>
    <x v="1"/>
    <x v="4"/>
    <x v="0"/>
    <x v="0"/>
    <x v="1"/>
    <x v="11"/>
    <n v="0"/>
    <n v="0"/>
    <n v="18.670999999999999"/>
    <n v="18.670999999999999"/>
    <n v="18.670999999999999"/>
    <n v="18.670999999999999"/>
    <n v="162"/>
    <s v="CATIVO"/>
    <n v="0"/>
    <n v="0"/>
    <n v="12"/>
    <n v="64"/>
    <n v="0"/>
    <n v="367.27"/>
    <n v="148.69"/>
    <m/>
    <n v="397.59903732554244"/>
    <n v="134.29488087141823"/>
    <n v="0"/>
    <n v="1070.4084299999997"/>
    <n v="0"/>
    <n v="1103.4434829617171"/>
    <x v="2"/>
  </r>
  <r>
    <s v="Regular"/>
    <x v="1"/>
    <x v="1"/>
    <x v="1"/>
    <x v="5"/>
    <x v="0"/>
    <x v="0"/>
    <x v="1"/>
    <x v="0"/>
    <n v="0"/>
    <n v="0"/>
    <n v="5.3769999999999998"/>
    <n v="5.3769999999999998"/>
    <n v="5.3769999999999998"/>
    <n v="5.3769999999999998"/>
    <n v="68"/>
    <s v="CATIVO"/>
    <n v="0"/>
    <n v="0"/>
    <n v="18"/>
    <n v="80"/>
    <n v="0"/>
    <n v="408.08"/>
    <n v="165.21"/>
    <m/>
    <n v="441.77670813949157"/>
    <n v="149.21653430157579"/>
    <n v="0"/>
    <n v="-1.5282353160728234E-13"/>
    <n v="0"/>
    <n v="3.0564706321456468E-13"/>
    <x v="2"/>
  </r>
  <r>
    <s v="Regular"/>
    <x v="1"/>
    <x v="1"/>
    <x v="1"/>
    <x v="5"/>
    <x v="0"/>
    <x v="0"/>
    <x v="1"/>
    <x v="1"/>
    <n v="0"/>
    <n v="0"/>
    <n v="2.8479999999999999"/>
    <n v="2.8479999999999999"/>
    <n v="2.8479999999999999"/>
    <n v="2.8479999999999999"/>
    <n v="41"/>
    <s v="CATIVO"/>
    <n v="0"/>
    <n v="0"/>
    <n v="18"/>
    <n v="80"/>
    <n v="0"/>
    <n v="408.08"/>
    <n v="165.21"/>
    <m/>
    <n v="441.77670813949157"/>
    <n v="149.21653430157579"/>
    <n v="0"/>
    <n v="-8.0945028457790609E-14"/>
    <n v="0"/>
    <n v="1.6189005691558122E-13"/>
    <x v="2"/>
  </r>
  <r>
    <s v="Regular"/>
    <x v="1"/>
    <x v="1"/>
    <x v="1"/>
    <x v="5"/>
    <x v="0"/>
    <x v="0"/>
    <x v="1"/>
    <x v="2"/>
    <n v="0"/>
    <n v="0"/>
    <n v="4.7279999999999998"/>
    <n v="4.7279999999999998"/>
    <n v="4.7279999999999998"/>
    <n v="4.7279999999999998"/>
    <n v="57"/>
    <s v="CATIVO"/>
    <n v="0"/>
    <n v="0"/>
    <n v="18"/>
    <n v="80"/>
    <n v="0"/>
    <n v="408.08"/>
    <n v="165.21"/>
    <m/>
    <n v="441.77670813949157"/>
    <n v="149.21653430157579"/>
    <n v="0"/>
    <n v="-1.3437784218695014E-13"/>
    <n v="0"/>
    <n v="2.6875568437390028E-13"/>
    <x v="2"/>
  </r>
  <r>
    <s v="Regular"/>
    <x v="1"/>
    <x v="1"/>
    <x v="1"/>
    <x v="5"/>
    <x v="0"/>
    <x v="0"/>
    <x v="1"/>
    <x v="3"/>
    <n v="0"/>
    <n v="0"/>
    <n v="7.8019999999999996"/>
    <n v="7.8019999999999996"/>
    <n v="7.8019999999999996"/>
    <n v="7.8019999999999996"/>
    <n v="79"/>
    <s v="CATIVO"/>
    <n v="0"/>
    <n v="0"/>
    <n v="18"/>
    <n v="80"/>
    <n v="0"/>
    <n v="408.08"/>
    <n v="165.21"/>
    <m/>
    <n v="441.77670813949157"/>
    <n v="149.21653430157579"/>
    <n v="0"/>
    <n v="-2.2174617697601205E-13"/>
    <n v="0"/>
    <n v="4.4349235395202411E-13"/>
    <x v="2"/>
  </r>
  <r>
    <s v="Regular"/>
    <x v="1"/>
    <x v="1"/>
    <x v="1"/>
    <x v="5"/>
    <x v="0"/>
    <x v="0"/>
    <x v="1"/>
    <x v="4"/>
    <n v="0"/>
    <n v="0"/>
    <n v="10.47"/>
    <n v="10.47"/>
    <n v="10.47"/>
    <n v="10.47"/>
    <n v="91"/>
    <s v="CATIVO"/>
    <n v="0"/>
    <n v="0"/>
    <n v="18"/>
    <n v="80"/>
    <n v="0"/>
    <n v="408.08"/>
    <n v="165.21"/>
    <m/>
    <n v="441.77670813949157"/>
    <n v="149.21653430157579"/>
    <n v="0"/>
    <n v="-2.9757529773632998E-13"/>
    <n v="0"/>
    <n v="5.9515059547265995E-13"/>
    <x v="2"/>
  </r>
  <r>
    <s v="Regular"/>
    <x v="1"/>
    <x v="1"/>
    <x v="1"/>
    <x v="5"/>
    <x v="0"/>
    <x v="0"/>
    <x v="1"/>
    <x v="5"/>
    <n v="0"/>
    <n v="0"/>
    <n v="14.282"/>
    <n v="14.282"/>
    <n v="14.282"/>
    <n v="14.282"/>
    <n v="122"/>
    <s v="CATIVO"/>
    <n v="0"/>
    <n v="0"/>
    <n v="18"/>
    <n v="80"/>
    <n v="0"/>
    <n v="408.08"/>
    <n v="165.21"/>
    <m/>
    <n v="441.77670813949157"/>
    <n v="149.21653430157579"/>
    <n v="0"/>
    <n v="-4.0591885408503003E-13"/>
    <n v="0"/>
    <n v="8.1183770817006007E-13"/>
    <x v="2"/>
  </r>
  <r>
    <s v="Regular"/>
    <x v="1"/>
    <x v="1"/>
    <x v="1"/>
    <x v="5"/>
    <x v="0"/>
    <x v="0"/>
    <x v="1"/>
    <x v="6"/>
    <n v="0"/>
    <n v="0"/>
    <n v="15.81"/>
    <n v="15.81"/>
    <n v="15.81"/>
    <n v="15.81"/>
    <n v="139"/>
    <s v="CATIVO"/>
    <n v="0"/>
    <n v="0"/>
    <n v="18"/>
    <n v="80"/>
    <n v="0"/>
    <n v="408.08"/>
    <n v="165.21"/>
    <m/>
    <n v="441.77670813949157"/>
    <n v="149.21653430157579"/>
    <n v="0"/>
    <n v="-4.4934722609468737E-13"/>
    <n v="0"/>
    <n v="8.9869445218937474E-13"/>
    <x v="2"/>
  </r>
  <r>
    <s v="Regular"/>
    <x v="1"/>
    <x v="1"/>
    <x v="1"/>
    <x v="5"/>
    <x v="0"/>
    <x v="0"/>
    <x v="1"/>
    <x v="7"/>
    <n v="0"/>
    <n v="0"/>
    <n v="12.138999999999999"/>
    <n v="12.138999999999999"/>
    <n v="12.138999999999999"/>
    <n v="12.138999999999999"/>
    <n v="127"/>
    <s v="CATIVO"/>
    <n v="0"/>
    <n v="0"/>
    <n v="18"/>
    <n v="80"/>
    <n v="0"/>
    <n v="408.08"/>
    <n v="165.21"/>
    <m/>
    <n v="441.77670813949157"/>
    <n v="149.21653430157579"/>
    <n v="0"/>
    <n v="-3.4501113077567423E-13"/>
    <n v="0"/>
    <n v="6.9002226155134846E-13"/>
    <x v="2"/>
  </r>
  <r>
    <s v="Regular"/>
    <x v="1"/>
    <x v="1"/>
    <x v="1"/>
    <x v="5"/>
    <x v="0"/>
    <x v="0"/>
    <x v="1"/>
    <x v="8"/>
    <n v="0"/>
    <n v="0"/>
    <n v="7.76"/>
    <n v="7.76"/>
    <n v="7.76"/>
    <n v="7.76"/>
    <n v="84"/>
    <s v="CATIVO"/>
    <n v="0"/>
    <n v="0"/>
    <n v="18"/>
    <n v="80"/>
    <n v="0"/>
    <n v="408.08"/>
    <n v="165.21"/>
    <m/>
    <n v="441.77670813949157"/>
    <n v="149.21653430157579"/>
    <n v="0"/>
    <n v="-2.2055246517993509E-13"/>
    <n v="0"/>
    <n v="4.4110493035987018E-13"/>
    <x v="2"/>
  </r>
  <r>
    <s v="Regular"/>
    <x v="1"/>
    <x v="1"/>
    <x v="1"/>
    <x v="5"/>
    <x v="0"/>
    <x v="0"/>
    <x v="1"/>
    <x v="9"/>
    <n v="0"/>
    <n v="0"/>
    <n v="10.635"/>
    <n v="10.635"/>
    <n v="10.635"/>
    <n v="10.635"/>
    <n v="106"/>
    <s v="CATIVO"/>
    <n v="0"/>
    <n v="0"/>
    <n v="18"/>
    <n v="80"/>
    <n v="0"/>
    <n v="408.08"/>
    <n v="165.21"/>
    <m/>
    <n v="441.77670813949157"/>
    <n v="149.21653430157579"/>
    <n v="0"/>
    <n v="-3.0226487979234661E-13"/>
    <n v="0"/>
    <n v="6.0452975958469323E-13"/>
    <x v="2"/>
  </r>
  <r>
    <s v="Regular"/>
    <x v="1"/>
    <x v="1"/>
    <x v="1"/>
    <x v="5"/>
    <x v="0"/>
    <x v="0"/>
    <x v="1"/>
    <x v="10"/>
    <n v="0"/>
    <n v="0"/>
    <n v="4.3120000000000003"/>
    <n v="4.3120000000000003"/>
    <n v="4.3120000000000003"/>
    <n v="4.3120000000000003"/>
    <n v="60"/>
    <s v="CATIVO"/>
    <n v="0"/>
    <n v="0"/>
    <n v="18"/>
    <n v="80"/>
    <n v="0"/>
    <n v="408.08"/>
    <n v="165.21"/>
    <m/>
    <n v="441.77670813949157"/>
    <n v="149.21653430157579"/>
    <n v="0"/>
    <n v="-1.2255441106390209E-13"/>
    <n v="0"/>
    <n v="2.4510882212780418E-13"/>
    <x v="2"/>
  </r>
  <r>
    <s v="Regular"/>
    <x v="1"/>
    <x v="1"/>
    <x v="1"/>
    <x v="5"/>
    <x v="0"/>
    <x v="0"/>
    <x v="1"/>
    <x v="11"/>
    <n v="0"/>
    <n v="0"/>
    <n v="7.032"/>
    <n v="7.032"/>
    <n v="7.032"/>
    <n v="7.032"/>
    <n v="73"/>
    <s v="CATIVO"/>
    <n v="0"/>
    <n v="0"/>
    <n v="18"/>
    <n v="80"/>
    <n v="0"/>
    <n v="408.08"/>
    <n v="165.21"/>
    <m/>
    <n v="441.77670813949157"/>
    <n v="149.21653430157579"/>
    <n v="0"/>
    <n v="-1.9986146071460098E-13"/>
    <n v="0"/>
    <n v="3.9972292142920196E-13"/>
    <x v="2"/>
  </r>
  <r>
    <s v="Regular"/>
    <x v="2"/>
    <x v="1"/>
    <x v="2"/>
    <x v="6"/>
    <x v="1"/>
    <x v="0"/>
    <x v="1"/>
    <x v="3"/>
    <n v="0"/>
    <n v="0"/>
    <n v="1.0429999999999999"/>
    <n v="1.0429999999999999"/>
    <n v="1.0429999999999999"/>
    <n v="1.0429999999999999"/>
    <n v="0"/>
    <s v="CATIVO"/>
    <n v="0"/>
    <n v="0"/>
    <n v="34"/>
    <n v="52"/>
    <n v="0"/>
    <n v="418.93"/>
    <n v="145.38"/>
    <m/>
    <n v="515.35815853077861"/>
    <n v="140.26354224348123"/>
    <n v="0"/>
    <n v="80.269279999999966"/>
    <n v="0"/>
    <n v="43.64766599409927"/>
    <x v="3"/>
  </r>
  <r>
    <s v="Regular"/>
    <x v="2"/>
    <x v="1"/>
    <x v="2"/>
    <x v="6"/>
    <x v="1"/>
    <x v="0"/>
    <x v="1"/>
    <x v="4"/>
    <n v="0"/>
    <n v="0"/>
    <n v="1.181"/>
    <n v="1.181"/>
    <n v="1.181"/>
    <n v="1.181"/>
    <n v="0"/>
    <s v="CATIVO"/>
    <n v="0"/>
    <n v="0"/>
    <n v="34"/>
    <n v="52"/>
    <n v="0"/>
    <n v="418.93"/>
    <n v="145.38"/>
    <m/>
    <n v="515.35815853077861"/>
    <n v="140.26354224348123"/>
    <n v="0"/>
    <n v="90.889759999999981"/>
    <n v="0"/>
    <n v="49.422716720068308"/>
    <x v="3"/>
  </r>
  <r>
    <s v="Regular"/>
    <x v="2"/>
    <x v="1"/>
    <x v="2"/>
    <x v="6"/>
    <x v="1"/>
    <x v="0"/>
    <x v="1"/>
    <x v="5"/>
    <n v="0"/>
    <n v="0"/>
    <n v="0.9"/>
    <n v="0.9"/>
    <n v="0.9"/>
    <n v="0.9"/>
    <n v="0"/>
    <s v="CATIVO"/>
    <n v="0"/>
    <n v="0"/>
    <n v="34"/>
    <n v="52"/>
    <n v="0"/>
    <n v="418.93"/>
    <n v="145.38"/>
    <m/>
    <n v="515.35815853077861"/>
    <n v="140.26354224348123"/>
    <n v="0"/>
    <n v="69.263999999999982"/>
    <n v="0"/>
    <n v="37.663374299798029"/>
    <x v="3"/>
  </r>
  <r>
    <s v="Regular"/>
    <x v="2"/>
    <x v="1"/>
    <x v="2"/>
    <x v="6"/>
    <x v="1"/>
    <x v="0"/>
    <x v="1"/>
    <x v="6"/>
    <n v="0"/>
    <n v="0"/>
    <n v="0.111"/>
    <n v="0.111"/>
    <n v="0.111"/>
    <n v="0.111"/>
    <n v="0"/>
    <s v="CATIVO"/>
    <n v="0"/>
    <n v="0"/>
    <n v="34"/>
    <n v="52"/>
    <n v="0"/>
    <n v="418.93"/>
    <n v="145.38"/>
    <m/>
    <n v="515.35815853077861"/>
    <n v="140.26354224348123"/>
    <n v="0"/>
    <n v="8.5425599999999982"/>
    <n v="0"/>
    <n v="4.6451494969750904"/>
    <x v="3"/>
  </r>
  <r>
    <s v="Regular"/>
    <x v="2"/>
    <x v="1"/>
    <x v="2"/>
    <x v="6"/>
    <x v="1"/>
    <x v="0"/>
    <x v="1"/>
    <x v="7"/>
    <n v="0"/>
    <n v="0"/>
    <n v="0.1"/>
    <n v="0.1"/>
    <n v="0.1"/>
    <n v="0.1"/>
    <n v="0"/>
    <s v="CATIVO"/>
    <n v="0"/>
    <n v="0"/>
    <n v="34"/>
    <n v="52"/>
    <n v="0"/>
    <n v="418.93"/>
    <n v="145.38"/>
    <m/>
    <n v="515.35815853077861"/>
    <n v="140.26354224348123"/>
    <n v="0"/>
    <n v="7.695999999999998"/>
    <n v="0"/>
    <n v="4.1848193666442262"/>
    <x v="3"/>
  </r>
  <r>
    <s v="Regular"/>
    <x v="2"/>
    <x v="1"/>
    <x v="2"/>
    <x v="6"/>
    <x v="2"/>
    <x v="0"/>
    <x v="1"/>
    <x v="3"/>
    <n v="0"/>
    <n v="0"/>
    <n v="0.33600000000000002"/>
    <n v="0.13439999999999999"/>
    <n v="0.33600000000000002"/>
    <n v="0.13439999999999999"/>
    <n v="0"/>
    <s v="CATIVO"/>
    <n v="0"/>
    <n v="0"/>
    <n v="32"/>
    <n v="52"/>
    <n v="0"/>
    <n v="418.93"/>
    <n v="145.38"/>
    <m/>
    <n v="515.35815853077861"/>
    <n v="140.26354224348123"/>
    <n v="0"/>
    <n v="139.623456"/>
    <n v="0"/>
    <n v="146.23432794801539"/>
    <x v="4"/>
  </r>
  <r>
    <s v="Regular"/>
    <x v="2"/>
    <x v="1"/>
    <x v="2"/>
    <x v="6"/>
    <x v="2"/>
    <x v="0"/>
    <x v="1"/>
    <x v="4"/>
    <n v="0"/>
    <n v="0"/>
    <n v="8.5000000000000006E-2"/>
    <n v="3.4000000000000002E-2"/>
    <n v="8.5000000000000006E-2"/>
    <n v="3.4000000000000002E-2"/>
    <n v="0"/>
    <s v="CATIVO"/>
    <n v="0"/>
    <n v="0"/>
    <n v="32"/>
    <n v="52"/>
    <n v="0"/>
    <n v="418.93"/>
    <n v="145.38"/>
    <m/>
    <n v="515.35815853077861"/>
    <n v="140.26354224348123"/>
    <n v="0"/>
    <n v="35.32141"/>
    <n v="0"/>
    <n v="36.993803201134838"/>
    <x v="4"/>
  </r>
  <r>
    <s v="Regular"/>
    <x v="2"/>
    <x v="1"/>
    <x v="2"/>
    <x v="6"/>
    <x v="2"/>
    <x v="0"/>
    <x v="1"/>
    <x v="5"/>
    <n v="0"/>
    <n v="0"/>
    <n v="8.3000000000000004E-2"/>
    <n v="3.32E-2"/>
    <n v="8.3000000000000004E-2"/>
    <n v="3.32E-2"/>
    <n v="0"/>
    <s v="CATIVO"/>
    <n v="0"/>
    <n v="0"/>
    <n v="32"/>
    <n v="52"/>
    <n v="0"/>
    <n v="418.93"/>
    <n v="145.38"/>
    <m/>
    <n v="515.35815853077861"/>
    <n v="140.26354224348123"/>
    <n v="0"/>
    <n v="34.490317999999995"/>
    <n v="0"/>
    <n v="36.12336077287285"/>
    <x v="4"/>
  </r>
  <r>
    <s v="Regular"/>
    <x v="2"/>
    <x v="1"/>
    <x v="2"/>
    <x v="7"/>
    <x v="1"/>
    <x v="0"/>
    <x v="1"/>
    <x v="0"/>
    <n v="0"/>
    <n v="0"/>
    <n v="0.10100000000000001"/>
    <n v="0.10100000000000001"/>
    <n v="0.10100000000000001"/>
    <n v="0.10100000000000001"/>
    <n v="0"/>
    <s v="CATIVO"/>
    <n v="0"/>
    <n v="0"/>
    <n v="34"/>
    <n v="52"/>
    <n v="0"/>
    <n v="418.93"/>
    <n v="145.38"/>
    <m/>
    <n v="515.35815853077861"/>
    <n v="140.26354224348123"/>
    <n v="0"/>
    <n v="7.7729599999999985"/>
    <n v="0"/>
    <n v="4.226667560310668"/>
    <x v="3"/>
  </r>
  <r>
    <s v="Regular"/>
    <x v="2"/>
    <x v="1"/>
    <x v="2"/>
    <x v="7"/>
    <x v="1"/>
    <x v="0"/>
    <x v="1"/>
    <x v="1"/>
    <n v="0"/>
    <n v="0"/>
    <n v="8.7999999999999995E-2"/>
    <n v="8.7999999999999995E-2"/>
    <n v="8.7999999999999995E-2"/>
    <n v="8.7999999999999995E-2"/>
    <n v="0"/>
    <s v="CATIVO"/>
    <n v="0"/>
    <n v="0"/>
    <n v="34"/>
    <n v="52"/>
    <n v="0"/>
    <n v="418.93"/>
    <n v="145.38"/>
    <m/>
    <n v="515.35815853077861"/>
    <n v="140.26354224348123"/>
    <n v="0"/>
    <n v="6.7724799999999981"/>
    <n v="0"/>
    <n v="3.6826410426469183"/>
    <x v="3"/>
  </r>
  <r>
    <s v="Regular"/>
    <x v="2"/>
    <x v="1"/>
    <x v="2"/>
    <x v="7"/>
    <x v="1"/>
    <x v="0"/>
    <x v="1"/>
    <x v="2"/>
    <n v="0"/>
    <n v="0"/>
    <n v="0.124"/>
    <n v="0.124"/>
    <n v="0.124"/>
    <n v="0.124"/>
    <n v="0"/>
    <s v="CATIVO"/>
    <n v="0"/>
    <n v="0"/>
    <n v="34"/>
    <n v="52"/>
    <n v="0"/>
    <n v="418.93"/>
    <n v="145.38"/>
    <m/>
    <n v="515.35815853077861"/>
    <n v="140.26354224348123"/>
    <n v="0"/>
    <n v="9.5430399999999977"/>
    <n v="0"/>
    <n v="5.1891760146388402"/>
    <x v="3"/>
  </r>
  <r>
    <s v="Regular"/>
    <x v="2"/>
    <x v="1"/>
    <x v="2"/>
    <x v="7"/>
    <x v="1"/>
    <x v="0"/>
    <x v="1"/>
    <x v="3"/>
    <n v="0"/>
    <n v="0"/>
    <n v="0.498"/>
    <n v="0.498"/>
    <n v="0.498"/>
    <n v="0.498"/>
    <n v="0"/>
    <s v="CATIVO"/>
    <n v="0"/>
    <n v="0"/>
    <n v="34"/>
    <n v="52"/>
    <n v="0"/>
    <n v="418.93"/>
    <n v="145.38"/>
    <m/>
    <n v="515.35815853077861"/>
    <n v="140.26354224348123"/>
    <n v="0"/>
    <n v="38.32607999999999"/>
    <n v="0"/>
    <n v="20.840400445888243"/>
    <x v="3"/>
  </r>
  <r>
    <s v="Regular"/>
    <x v="2"/>
    <x v="1"/>
    <x v="2"/>
    <x v="7"/>
    <x v="1"/>
    <x v="0"/>
    <x v="1"/>
    <x v="4"/>
    <n v="0"/>
    <n v="0"/>
    <n v="0.59199999999999997"/>
    <n v="0.59199999999999997"/>
    <n v="0.59199999999999997"/>
    <n v="0.59199999999999997"/>
    <n v="0"/>
    <s v="CATIVO"/>
    <n v="0"/>
    <n v="0"/>
    <n v="34"/>
    <n v="52"/>
    <n v="0"/>
    <n v="418.93"/>
    <n v="145.38"/>
    <m/>
    <n v="515.35815853077861"/>
    <n v="140.26354224348123"/>
    <n v="0"/>
    <n v="45.560319999999983"/>
    <n v="0"/>
    <n v="24.774130650533813"/>
    <x v="3"/>
  </r>
  <r>
    <s v="Regular"/>
    <x v="2"/>
    <x v="1"/>
    <x v="2"/>
    <x v="7"/>
    <x v="1"/>
    <x v="0"/>
    <x v="1"/>
    <x v="5"/>
    <n v="0"/>
    <n v="0"/>
    <n v="0.72699999999999998"/>
    <n v="0.72699999999999998"/>
    <n v="0.72699999999999998"/>
    <n v="0.72699999999999998"/>
    <n v="0"/>
    <s v="CATIVO"/>
    <n v="0"/>
    <n v="0"/>
    <n v="34"/>
    <n v="52"/>
    <n v="0"/>
    <n v="418.93"/>
    <n v="145.38"/>
    <m/>
    <n v="515.35815853077861"/>
    <n v="140.26354224348123"/>
    <n v="0"/>
    <n v="55.949919999999985"/>
    <n v="0"/>
    <n v="30.423636795503519"/>
    <x v="3"/>
  </r>
  <r>
    <s v="Regular"/>
    <x v="2"/>
    <x v="1"/>
    <x v="2"/>
    <x v="7"/>
    <x v="1"/>
    <x v="0"/>
    <x v="1"/>
    <x v="6"/>
    <n v="0"/>
    <n v="0"/>
    <n v="0.96099999999999997"/>
    <n v="0.96099999999999997"/>
    <n v="0.96099999999999997"/>
    <n v="0.96099999999999997"/>
    <n v="0"/>
    <s v="CATIVO"/>
    <n v="0"/>
    <n v="0"/>
    <n v="34"/>
    <n v="52"/>
    <n v="0"/>
    <n v="418.93"/>
    <n v="145.38"/>
    <m/>
    <n v="515.35815853077861"/>
    <n v="140.26354224348123"/>
    <n v="0"/>
    <n v="73.958559999999977"/>
    <n v="0"/>
    <n v="40.216114113451006"/>
    <x v="3"/>
  </r>
  <r>
    <s v="Regular"/>
    <x v="2"/>
    <x v="1"/>
    <x v="2"/>
    <x v="7"/>
    <x v="1"/>
    <x v="0"/>
    <x v="1"/>
    <x v="7"/>
    <n v="0"/>
    <n v="0"/>
    <n v="0.92700000000000005"/>
    <n v="0.92700000000000005"/>
    <n v="0.92700000000000005"/>
    <n v="0.92700000000000005"/>
    <n v="0"/>
    <s v="CATIVO"/>
    <n v="0"/>
    <n v="0"/>
    <n v="34"/>
    <n v="52"/>
    <n v="0"/>
    <n v="418.93"/>
    <n v="145.38"/>
    <m/>
    <n v="515.35815853077861"/>
    <n v="140.26354224348123"/>
    <n v="0"/>
    <n v="71.341919999999988"/>
    <n v="0"/>
    <n v="38.793275528791973"/>
    <x v="3"/>
  </r>
  <r>
    <s v="Regular"/>
    <x v="2"/>
    <x v="1"/>
    <x v="2"/>
    <x v="7"/>
    <x v="1"/>
    <x v="0"/>
    <x v="1"/>
    <x v="8"/>
    <n v="0"/>
    <n v="0"/>
    <n v="1.026"/>
    <n v="1.026"/>
    <n v="1.026"/>
    <n v="1.026"/>
    <n v="0"/>
    <s v="CATIVO"/>
    <n v="0"/>
    <n v="0"/>
    <n v="34"/>
    <n v="52"/>
    <n v="0"/>
    <n v="418.93"/>
    <n v="145.38"/>
    <m/>
    <n v="515.35815853077861"/>
    <n v="140.26354224348123"/>
    <n v="0"/>
    <n v="78.960959999999986"/>
    <n v="0"/>
    <n v="42.936246701769754"/>
    <x v="3"/>
  </r>
  <r>
    <s v="Regular"/>
    <x v="2"/>
    <x v="1"/>
    <x v="2"/>
    <x v="7"/>
    <x v="1"/>
    <x v="0"/>
    <x v="1"/>
    <x v="9"/>
    <n v="0"/>
    <n v="0"/>
    <n v="1.052"/>
    <n v="1.052"/>
    <n v="1.052"/>
    <n v="1.052"/>
    <n v="0"/>
    <s v="CATIVO"/>
    <n v="0"/>
    <n v="0"/>
    <n v="34"/>
    <n v="52"/>
    <n v="0"/>
    <n v="418.93"/>
    <n v="145.38"/>
    <m/>
    <n v="515.35815853077861"/>
    <n v="140.26354224348123"/>
    <n v="0"/>
    <n v="80.961919999999978"/>
    <n v="0"/>
    <n v="44.024299737097259"/>
    <x v="3"/>
  </r>
  <r>
    <s v="Regular"/>
    <x v="2"/>
    <x v="1"/>
    <x v="2"/>
    <x v="7"/>
    <x v="1"/>
    <x v="0"/>
    <x v="1"/>
    <x v="10"/>
    <n v="0"/>
    <n v="0"/>
    <n v="0.86399999999999999"/>
    <n v="0.86399999999999999"/>
    <n v="0.86399999999999999"/>
    <n v="0.86399999999999999"/>
    <n v="0"/>
    <s v="CATIVO"/>
    <n v="0"/>
    <n v="0"/>
    <n v="34"/>
    <n v="52"/>
    <n v="0"/>
    <n v="418.93"/>
    <n v="145.38"/>
    <m/>
    <n v="515.35815853077861"/>
    <n v="140.26354224348123"/>
    <n v="0"/>
    <n v="66.493439999999978"/>
    <n v="0"/>
    <n v="36.156839327806111"/>
    <x v="3"/>
  </r>
  <r>
    <s v="Regular"/>
    <x v="2"/>
    <x v="1"/>
    <x v="2"/>
    <x v="7"/>
    <x v="1"/>
    <x v="0"/>
    <x v="1"/>
    <x v="11"/>
    <n v="0"/>
    <n v="0"/>
    <n v="1.3160000000000001"/>
    <n v="1.3160000000000001"/>
    <n v="1.3160000000000001"/>
    <n v="1.3160000000000001"/>
    <n v="0"/>
    <s v="CATIVO"/>
    <n v="0"/>
    <n v="0"/>
    <n v="34"/>
    <n v="52"/>
    <n v="0"/>
    <n v="418.93"/>
    <n v="145.38"/>
    <m/>
    <n v="515.35815853077861"/>
    <n v="140.26354224348123"/>
    <n v="0"/>
    <n v="101.27935999999998"/>
    <n v="0"/>
    <n v="55.072222865038015"/>
    <x v="3"/>
  </r>
  <r>
    <s v="Regular"/>
    <x v="2"/>
    <x v="1"/>
    <x v="2"/>
    <x v="7"/>
    <x v="2"/>
    <x v="0"/>
    <x v="1"/>
    <x v="0"/>
    <n v="0"/>
    <n v="0"/>
    <n v="0.11799999999999999"/>
    <n v="4.7199999999999999E-2"/>
    <n v="0.11799999999999999"/>
    <n v="4.7199999999999999E-2"/>
    <n v="0"/>
    <s v="CATIVO"/>
    <n v="0"/>
    <n v="0"/>
    <n v="32"/>
    <n v="52"/>
    <n v="0"/>
    <n v="418.93"/>
    <n v="145.38"/>
    <m/>
    <n v="515.35815853077861"/>
    <n v="140.26354224348123"/>
    <n v="0"/>
    <n v="49.034427999999998"/>
    <n v="0"/>
    <n v="51.356103267457783"/>
    <x v="4"/>
  </r>
  <r>
    <s v="Regular"/>
    <x v="2"/>
    <x v="1"/>
    <x v="2"/>
    <x v="7"/>
    <x v="2"/>
    <x v="0"/>
    <x v="1"/>
    <x v="1"/>
    <n v="0"/>
    <n v="0"/>
    <n v="0.114"/>
    <n v="4.5600000000000002E-2"/>
    <n v="0.114"/>
    <n v="4.5600000000000002E-2"/>
    <n v="0"/>
    <s v="CATIVO"/>
    <n v="0"/>
    <n v="0"/>
    <n v="32"/>
    <n v="52"/>
    <n v="0"/>
    <n v="418.93"/>
    <n v="145.38"/>
    <m/>
    <n v="515.35815853077861"/>
    <n v="140.26354224348123"/>
    <n v="0"/>
    <n v="47.372243999999995"/>
    <n v="0"/>
    <n v="49.615218410933792"/>
    <x v="4"/>
  </r>
  <r>
    <s v="Regular"/>
    <x v="2"/>
    <x v="1"/>
    <x v="2"/>
    <x v="7"/>
    <x v="2"/>
    <x v="0"/>
    <x v="1"/>
    <x v="2"/>
    <n v="0"/>
    <n v="0"/>
    <n v="0.16900000000000001"/>
    <n v="6.7599999999999993E-2"/>
    <n v="0.16900000000000001"/>
    <n v="6.7599999999999993E-2"/>
    <n v="0"/>
    <s v="CATIVO"/>
    <n v="0"/>
    <n v="0"/>
    <n v="32"/>
    <n v="52"/>
    <n v="0"/>
    <n v="418.93"/>
    <n v="145.38"/>
    <m/>
    <n v="515.35815853077861"/>
    <n v="140.26354224348123"/>
    <n v="0"/>
    <n v="70.227273999999994"/>
    <n v="0"/>
    <n v="73.5523851881387"/>
    <x v="4"/>
  </r>
  <r>
    <s v="Regular"/>
    <x v="2"/>
    <x v="1"/>
    <x v="2"/>
    <x v="7"/>
    <x v="2"/>
    <x v="0"/>
    <x v="1"/>
    <x v="3"/>
    <n v="0"/>
    <n v="0"/>
    <n v="0.79300000000000004"/>
    <n v="0.31719999999999998"/>
    <n v="0.79300000000000004"/>
    <n v="0.31719999999999998"/>
    <n v="0"/>
    <s v="CATIVO"/>
    <n v="0"/>
    <n v="0"/>
    <n v="32"/>
    <n v="52"/>
    <n v="0"/>
    <n v="418.93"/>
    <n v="145.38"/>
    <m/>
    <n v="515.35815853077861"/>
    <n v="140.26354224348123"/>
    <n v="0"/>
    <n v="329.52797799999996"/>
    <n v="0"/>
    <n v="345.13042280588155"/>
    <x v="4"/>
  </r>
  <r>
    <s v="Regular"/>
    <x v="2"/>
    <x v="1"/>
    <x v="2"/>
    <x v="7"/>
    <x v="2"/>
    <x v="0"/>
    <x v="1"/>
    <x v="4"/>
    <n v="0"/>
    <n v="0"/>
    <n v="1.845"/>
    <n v="0.73799999999999999"/>
    <n v="1.845"/>
    <n v="0.73799999999999999"/>
    <n v="0"/>
    <s v="CATIVO"/>
    <n v="0"/>
    <n v="0"/>
    <n v="32"/>
    <n v="52"/>
    <n v="0"/>
    <n v="418.93"/>
    <n v="145.38"/>
    <m/>
    <n v="515.35815853077861"/>
    <n v="140.26354224348123"/>
    <n v="0"/>
    <n v="766.68236999999988"/>
    <n v="0"/>
    <n v="802.98314007169154"/>
    <x v="4"/>
  </r>
  <r>
    <s v="Regular"/>
    <x v="2"/>
    <x v="1"/>
    <x v="2"/>
    <x v="7"/>
    <x v="2"/>
    <x v="0"/>
    <x v="1"/>
    <x v="5"/>
    <n v="0"/>
    <n v="0"/>
    <n v="1.7969999999999999"/>
    <n v="0.71879999999999999"/>
    <n v="1.7969999999999999"/>
    <n v="0.71879999999999999"/>
    <n v="0"/>
    <s v="CATIVO"/>
    <n v="0"/>
    <n v="0"/>
    <n v="32"/>
    <n v="52"/>
    <n v="0"/>
    <n v="418.93"/>
    <n v="145.38"/>
    <m/>
    <n v="515.35815853077861"/>
    <n v="140.26354224348123"/>
    <n v="0"/>
    <n v="746.73616199999981"/>
    <n v="0"/>
    <n v="782.09252179340353"/>
    <x v="4"/>
  </r>
  <r>
    <s v="Regular"/>
    <x v="2"/>
    <x v="1"/>
    <x v="2"/>
    <x v="7"/>
    <x v="2"/>
    <x v="0"/>
    <x v="1"/>
    <x v="6"/>
    <n v="0"/>
    <n v="0"/>
    <n v="2.5939999999999999"/>
    <n v="1.0376000000000001"/>
    <n v="2.5939999999999999"/>
    <n v="1.0376000000000001"/>
    <n v="0"/>
    <s v="CATIVO"/>
    <n v="0"/>
    <n v="0"/>
    <n v="32"/>
    <n v="52"/>
    <n v="0"/>
    <n v="418.93"/>
    <n v="145.38"/>
    <m/>
    <n v="515.35815853077861"/>
    <n v="140.26354224348123"/>
    <n v="0"/>
    <n v="1077.9263239999998"/>
    <n v="0"/>
    <n v="1128.963829455809"/>
    <x v="4"/>
  </r>
  <r>
    <s v="Regular"/>
    <x v="2"/>
    <x v="1"/>
    <x v="2"/>
    <x v="7"/>
    <x v="2"/>
    <x v="0"/>
    <x v="1"/>
    <x v="7"/>
    <n v="0"/>
    <n v="0"/>
    <n v="3.2970000000000002"/>
    <n v="1.3188"/>
    <n v="3.2970000000000002"/>
    <n v="1.3188"/>
    <n v="0"/>
    <s v="CATIVO"/>
    <n v="0"/>
    <n v="0"/>
    <n v="32"/>
    <n v="52"/>
    <n v="0"/>
    <n v="418.93"/>
    <n v="145.38"/>
    <m/>
    <n v="515.35815853077861"/>
    <n v="140.26354224348123"/>
    <n v="0"/>
    <n v="1370.0551620000001"/>
    <n v="0"/>
    <n v="1434.9243429899011"/>
    <x v="4"/>
  </r>
  <r>
    <s v="Regular"/>
    <x v="2"/>
    <x v="1"/>
    <x v="2"/>
    <x v="7"/>
    <x v="2"/>
    <x v="0"/>
    <x v="1"/>
    <x v="8"/>
    <n v="0"/>
    <n v="0"/>
    <n v="2.9510000000000001"/>
    <n v="1.1803999999999999"/>
    <n v="2.9510000000000001"/>
    <n v="1.1803999999999999"/>
    <n v="0"/>
    <s v="CATIVO"/>
    <n v="0"/>
    <n v="0"/>
    <n v="32"/>
    <n v="52"/>
    <n v="0"/>
    <n v="418.93"/>
    <n v="145.38"/>
    <m/>
    <n v="515.35815853077861"/>
    <n v="140.26354224348123"/>
    <n v="0"/>
    <n v="1226.2762459999999"/>
    <n v="0"/>
    <n v="1284.3378029005755"/>
    <x v="4"/>
  </r>
  <r>
    <s v="Regular"/>
    <x v="2"/>
    <x v="1"/>
    <x v="2"/>
    <x v="7"/>
    <x v="2"/>
    <x v="0"/>
    <x v="1"/>
    <x v="9"/>
    <n v="0"/>
    <n v="0"/>
    <n v="3.1909999999999998"/>
    <n v="1.2764"/>
    <n v="3.1909999999999998"/>
    <n v="1.2764"/>
    <n v="0"/>
    <s v="CATIVO"/>
    <n v="0"/>
    <n v="0"/>
    <n v="32"/>
    <n v="52"/>
    <n v="0"/>
    <n v="418.93"/>
    <n v="145.38"/>
    <m/>
    <n v="515.35815853077861"/>
    <n v="140.26354224348123"/>
    <n v="0"/>
    <n v="1326.0072859999998"/>
    <n v="0"/>
    <n v="1388.7908942920149"/>
    <x v="4"/>
  </r>
  <r>
    <s v="Regular"/>
    <x v="2"/>
    <x v="1"/>
    <x v="2"/>
    <x v="7"/>
    <x v="2"/>
    <x v="0"/>
    <x v="1"/>
    <x v="10"/>
    <n v="0"/>
    <n v="0"/>
    <n v="2.5390000000000001"/>
    <n v="1.0156000000000001"/>
    <n v="2.5390000000000001"/>
    <n v="1.0156000000000001"/>
    <n v="0"/>
    <s v="CATIVO"/>
    <n v="0"/>
    <n v="0"/>
    <n v="32"/>
    <n v="52"/>
    <n v="0"/>
    <n v="418.93"/>
    <n v="145.38"/>
    <m/>
    <n v="515.35815853077861"/>
    <n v="140.26354224348123"/>
    <n v="0"/>
    <n v="1055.0712939999999"/>
    <n v="0"/>
    <n v="1105.0266626786045"/>
    <x v="4"/>
  </r>
  <r>
    <s v="Regular"/>
    <x v="2"/>
    <x v="1"/>
    <x v="2"/>
    <x v="7"/>
    <x v="2"/>
    <x v="0"/>
    <x v="1"/>
    <x v="11"/>
    <n v="0"/>
    <n v="0"/>
    <n v="3.1230000000000002"/>
    <n v="1.2492000000000001"/>
    <n v="3.1230000000000002"/>
    <n v="1.2492000000000001"/>
    <n v="0"/>
    <s v="CATIVO"/>
    <n v="0"/>
    <n v="0"/>
    <n v="32"/>
    <n v="52"/>
    <n v="0"/>
    <n v="418.93"/>
    <n v="145.38"/>
    <m/>
    <n v="515.35815853077861"/>
    <n v="140.26354224348123"/>
    <n v="0"/>
    <n v="1297.7501580000001"/>
    <n v="0"/>
    <n v="1359.1958517311073"/>
    <x v="4"/>
  </r>
  <r>
    <s v="Regular"/>
    <x v="2"/>
    <x v="1"/>
    <x v="2"/>
    <x v="8"/>
    <x v="0"/>
    <x v="0"/>
    <x v="1"/>
    <x v="0"/>
    <n v="0"/>
    <n v="0"/>
    <n v="274.00599999999997"/>
    <n v="274.00599999999997"/>
    <n v="274.00599999999997"/>
    <n v="274.00599999999997"/>
    <n v="1185"/>
    <s v="CATIVO"/>
    <n v="0"/>
    <n v="0"/>
    <n v="34"/>
    <n v="52"/>
    <n v="0"/>
    <n v="418.93"/>
    <n v="145.38"/>
    <m/>
    <n v="515.35815853077861"/>
    <n v="140.26354224348123"/>
    <n v="0"/>
    <n v="21087.501759999992"/>
    <n v="0"/>
    <n v="11466.656153767175"/>
    <x v="3"/>
  </r>
  <r>
    <s v="Sistema de Compensação"/>
    <x v="2"/>
    <x v="1"/>
    <x v="2"/>
    <x v="8"/>
    <x v="0"/>
    <x v="0"/>
    <x v="1"/>
    <x v="0"/>
    <n v="0"/>
    <n v="0"/>
    <n v="4.5650000000000004"/>
    <n v="4.5650000000000004"/>
    <n v="4.5650000000000004"/>
    <n v="4.5650000000000004"/>
    <n v="10"/>
    <s v="CATIVO"/>
    <n v="0"/>
    <n v="0"/>
    <n v="34"/>
    <n v="52"/>
    <n v="0"/>
    <n v="418.93"/>
    <n v="145.38"/>
    <m/>
    <n v="515.35815853077861"/>
    <n v="140.26354224348123"/>
    <n v="0"/>
    <n v="351.32239999999996"/>
    <n v="0"/>
    <n v="191.03700408730893"/>
    <x v="3"/>
  </r>
  <r>
    <s v="Regular"/>
    <x v="2"/>
    <x v="1"/>
    <x v="2"/>
    <x v="8"/>
    <x v="0"/>
    <x v="0"/>
    <x v="1"/>
    <x v="1"/>
    <n v="0"/>
    <n v="0"/>
    <n v="232.971"/>
    <n v="232.971"/>
    <n v="232.971"/>
    <n v="232.971"/>
    <n v="1183"/>
    <s v="CATIVO"/>
    <n v="0"/>
    <n v="0"/>
    <n v="34"/>
    <n v="52"/>
    <n v="0"/>
    <n v="418.93"/>
    <n v="145.38"/>
    <m/>
    <n v="515.35815853077861"/>
    <n v="140.26354224348123"/>
    <n v="0"/>
    <n v="17929.448159999996"/>
    <n v="0"/>
    <n v="9749.4155266647194"/>
    <x v="3"/>
  </r>
  <r>
    <s v="Sistema de Compensação"/>
    <x v="2"/>
    <x v="1"/>
    <x v="2"/>
    <x v="8"/>
    <x v="0"/>
    <x v="0"/>
    <x v="1"/>
    <x v="1"/>
    <n v="0"/>
    <n v="0"/>
    <n v="6.0389999999999997"/>
    <n v="6.0389999999999997"/>
    <n v="6.0389999999999997"/>
    <n v="6.0389999999999997"/>
    <n v="12"/>
    <s v="CATIVO"/>
    <n v="0"/>
    <n v="0"/>
    <n v="34"/>
    <n v="52"/>
    <n v="0"/>
    <n v="418.93"/>
    <n v="145.38"/>
    <m/>
    <n v="515.35815853077861"/>
    <n v="140.26354224348123"/>
    <n v="0"/>
    <n v="464.76143999999988"/>
    <n v="0"/>
    <n v="252.72124155164477"/>
    <x v="3"/>
  </r>
  <r>
    <s v="Regular"/>
    <x v="2"/>
    <x v="1"/>
    <x v="2"/>
    <x v="8"/>
    <x v="0"/>
    <x v="0"/>
    <x v="1"/>
    <x v="2"/>
    <n v="0"/>
    <n v="0"/>
    <n v="266.19200000000001"/>
    <n v="266.19200000000001"/>
    <n v="266.19200000000001"/>
    <n v="266.19200000000001"/>
    <n v="1188"/>
    <s v="CATIVO"/>
    <n v="0"/>
    <n v="0"/>
    <n v="34"/>
    <n v="52"/>
    <n v="0"/>
    <n v="418.93"/>
    <n v="145.38"/>
    <m/>
    <n v="515.35815853077861"/>
    <n v="140.26354224348123"/>
    <n v="0"/>
    <n v="20486.136319999994"/>
    <n v="0"/>
    <n v="11139.654368457597"/>
    <x v="3"/>
  </r>
  <r>
    <s v="Sistema de Compensação"/>
    <x v="2"/>
    <x v="1"/>
    <x v="2"/>
    <x v="8"/>
    <x v="0"/>
    <x v="0"/>
    <x v="1"/>
    <x v="2"/>
    <n v="0"/>
    <n v="0"/>
    <n v="3.8940000000000001"/>
    <n v="3.8940000000000001"/>
    <n v="3.8940000000000001"/>
    <n v="3.8940000000000001"/>
    <n v="12"/>
    <s v="CATIVO"/>
    <n v="0"/>
    <n v="0"/>
    <n v="34"/>
    <n v="52"/>
    <n v="0"/>
    <n v="418.93"/>
    <n v="145.38"/>
    <m/>
    <n v="515.35815853077861"/>
    <n v="140.26354224348123"/>
    <n v="0"/>
    <n v="299.68223999999992"/>
    <n v="0"/>
    <n v="162.95686613712616"/>
    <x v="3"/>
  </r>
  <r>
    <s v="Regular"/>
    <x v="2"/>
    <x v="1"/>
    <x v="2"/>
    <x v="8"/>
    <x v="0"/>
    <x v="0"/>
    <x v="1"/>
    <x v="3"/>
    <n v="0"/>
    <n v="0"/>
    <n v="309.351"/>
    <n v="309.351"/>
    <n v="309.351"/>
    <n v="309.351"/>
    <n v="1181"/>
    <s v="CATIVO"/>
    <n v="0"/>
    <n v="0"/>
    <n v="34"/>
    <n v="52"/>
    <n v="0"/>
    <n v="418.93"/>
    <n v="145.38"/>
    <m/>
    <n v="515.35815853077861"/>
    <n v="140.26354224348123"/>
    <n v="0"/>
    <n v="23807.652959999992"/>
    <n v="0"/>
    <n v="12945.780558907578"/>
    <x v="3"/>
  </r>
  <r>
    <s v="Sistema de Compensação"/>
    <x v="2"/>
    <x v="1"/>
    <x v="2"/>
    <x v="8"/>
    <x v="0"/>
    <x v="0"/>
    <x v="1"/>
    <x v="3"/>
    <n v="0"/>
    <n v="0"/>
    <n v="2.5529999999999999"/>
    <n v="2.5529999999999999"/>
    <n v="2.5529999999999999"/>
    <n v="2.5529999999999999"/>
    <n v="13"/>
    <s v="CATIVO"/>
    <n v="0"/>
    <n v="0"/>
    <n v="34"/>
    <n v="52"/>
    <n v="0"/>
    <n v="418.93"/>
    <n v="145.38"/>
    <m/>
    <n v="515.35815853077861"/>
    <n v="140.26354224348123"/>
    <n v="0"/>
    <n v="196.47887999999995"/>
    <n v="0"/>
    <n v="106.83843843042708"/>
    <x v="3"/>
  </r>
  <r>
    <s v="Regular"/>
    <x v="2"/>
    <x v="1"/>
    <x v="2"/>
    <x v="8"/>
    <x v="0"/>
    <x v="0"/>
    <x v="1"/>
    <x v="4"/>
    <n v="0"/>
    <n v="0"/>
    <n v="338.16500000000002"/>
    <n v="338.16500000000002"/>
    <n v="338.16500000000002"/>
    <n v="338.16500000000002"/>
    <n v="1185"/>
    <s v="CATIVO"/>
    <n v="0"/>
    <n v="0"/>
    <n v="34"/>
    <n v="52"/>
    <n v="0"/>
    <n v="418.93"/>
    <n v="145.38"/>
    <m/>
    <n v="515.35815853077861"/>
    <n v="140.26354224348123"/>
    <n v="0"/>
    <n v="26025.178399999993"/>
    <n v="0"/>
    <n v="14151.594411212447"/>
    <x v="3"/>
  </r>
  <r>
    <s v="Sistema de Compensação"/>
    <x v="2"/>
    <x v="1"/>
    <x v="2"/>
    <x v="8"/>
    <x v="0"/>
    <x v="0"/>
    <x v="1"/>
    <x v="4"/>
    <n v="0"/>
    <n v="0"/>
    <n v="1.798"/>
    <n v="1.798"/>
    <n v="1.798"/>
    <n v="1.798"/>
    <n v="13"/>
    <s v="CATIVO"/>
    <n v="0"/>
    <n v="0"/>
    <n v="34"/>
    <n v="52"/>
    <n v="0"/>
    <n v="418.93"/>
    <n v="145.38"/>
    <m/>
    <n v="515.35815853077861"/>
    <n v="140.26354224348123"/>
    <n v="0"/>
    <n v="138.37407999999996"/>
    <n v="0"/>
    <n v="75.24305221226318"/>
    <x v="3"/>
  </r>
  <r>
    <s v="Regular"/>
    <x v="2"/>
    <x v="1"/>
    <x v="2"/>
    <x v="8"/>
    <x v="0"/>
    <x v="0"/>
    <x v="1"/>
    <x v="5"/>
    <n v="0"/>
    <n v="0"/>
    <n v="270.61399999999998"/>
    <n v="270.61399999999998"/>
    <n v="270.61399999999998"/>
    <n v="270.61399999999998"/>
    <n v="1166"/>
    <s v="CATIVO"/>
    <n v="0"/>
    <n v="0"/>
    <n v="34"/>
    <n v="52"/>
    <n v="0"/>
    <n v="418.93"/>
    <n v="145.38"/>
    <m/>
    <n v="515.35815853077861"/>
    <n v="140.26354224348123"/>
    <n v="0"/>
    <n v="20826.453439999994"/>
    <n v="0"/>
    <n v="11324.707080850603"/>
    <x v="3"/>
  </r>
  <r>
    <s v="Refaturamento - Regular"/>
    <x v="2"/>
    <x v="1"/>
    <x v="2"/>
    <x v="8"/>
    <x v="0"/>
    <x v="0"/>
    <x v="1"/>
    <x v="5"/>
    <n v="0"/>
    <n v="0"/>
    <n v="-6.0999999999999999E-2"/>
    <n v="-6.0999999999999999E-2"/>
    <n v="-6.0999999999999999E-2"/>
    <n v="-6.0999999999999999E-2"/>
    <n v="0"/>
    <s v="CATIVO"/>
    <n v="0"/>
    <n v="0"/>
    <n v="34"/>
    <n v="52"/>
    <n v="0"/>
    <n v="418.93"/>
    <n v="145.38"/>
    <m/>
    <n v="515.35815853077861"/>
    <n v="140.26354224348123"/>
    <n v="0"/>
    <n v="-4.6945599999999983"/>
    <n v="0"/>
    <n v="-2.5527398136529778"/>
    <x v="3"/>
  </r>
  <r>
    <s v="Sistema de Compensação"/>
    <x v="2"/>
    <x v="1"/>
    <x v="2"/>
    <x v="8"/>
    <x v="0"/>
    <x v="0"/>
    <x v="1"/>
    <x v="5"/>
    <n v="0"/>
    <n v="0"/>
    <n v="7.5090000000000003"/>
    <n v="7.5090000000000003"/>
    <n v="7.5090000000000003"/>
    <n v="7.5090000000000003"/>
    <n v="16"/>
    <s v="CATIVO"/>
    <n v="0"/>
    <n v="0"/>
    <n v="34"/>
    <n v="52"/>
    <n v="0"/>
    <n v="418.93"/>
    <n v="145.38"/>
    <m/>
    <n v="515.35815853077861"/>
    <n v="140.26354224348123"/>
    <n v="0"/>
    <n v="577.89263999999991"/>
    <n v="0"/>
    <n v="314.23808624131493"/>
    <x v="3"/>
  </r>
  <r>
    <s v="Regular"/>
    <x v="2"/>
    <x v="1"/>
    <x v="2"/>
    <x v="8"/>
    <x v="0"/>
    <x v="0"/>
    <x v="1"/>
    <x v="6"/>
    <n v="0"/>
    <n v="0"/>
    <n v="262.28100000000001"/>
    <n v="262.28100000000001"/>
    <n v="262.28100000000001"/>
    <n v="262.28100000000001"/>
    <n v="1156"/>
    <s v="CATIVO"/>
    <n v="0"/>
    <n v="0"/>
    <n v="34"/>
    <n v="52"/>
    <n v="0"/>
    <n v="418.93"/>
    <n v="145.38"/>
    <m/>
    <n v="515.35815853077861"/>
    <n v="140.26354224348123"/>
    <n v="0"/>
    <n v="20185.145759999996"/>
    <n v="0"/>
    <n v="10975.986083028141"/>
    <x v="3"/>
  </r>
  <r>
    <s v="Sistema de Compensação"/>
    <x v="2"/>
    <x v="1"/>
    <x v="2"/>
    <x v="8"/>
    <x v="0"/>
    <x v="0"/>
    <x v="1"/>
    <x v="6"/>
    <n v="0"/>
    <n v="0"/>
    <n v="8.1289999999999996"/>
    <n v="8.1289999999999996"/>
    <n v="8.1289999999999996"/>
    <n v="8.1289999999999996"/>
    <n v="20"/>
    <s v="CATIVO"/>
    <n v="0"/>
    <n v="0"/>
    <n v="34"/>
    <n v="52"/>
    <n v="0"/>
    <n v="418.93"/>
    <n v="145.38"/>
    <m/>
    <n v="515.35815853077861"/>
    <n v="140.26354224348123"/>
    <n v="0"/>
    <n v="625.60783999999978"/>
    <n v="0"/>
    <n v="340.18396631450906"/>
    <x v="3"/>
  </r>
  <r>
    <s v="Regular"/>
    <x v="2"/>
    <x v="1"/>
    <x v="2"/>
    <x v="8"/>
    <x v="0"/>
    <x v="0"/>
    <x v="1"/>
    <x v="7"/>
    <n v="0"/>
    <n v="0"/>
    <n v="253.72900000000001"/>
    <n v="253.72900000000001"/>
    <n v="253.72900000000001"/>
    <n v="253.72900000000001"/>
    <n v="1150"/>
    <s v="CATIVO"/>
    <n v="0"/>
    <n v="0"/>
    <n v="34"/>
    <n v="52"/>
    <n v="0"/>
    <n v="418.93"/>
    <n v="145.38"/>
    <m/>
    <n v="515.35815853077861"/>
    <n v="140.26354224348123"/>
    <n v="0"/>
    <n v="19526.983839999997"/>
    <n v="0"/>
    <n v="10618.100330792728"/>
    <x v="3"/>
  </r>
  <r>
    <s v="Sistema de Compensação"/>
    <x v="2"/>
    <x v="1"/>
    <x v="2"/>
    <x v="8"/>
    <x v="0"/>
    <x v="0"/>
    <x v="1"/>
    <x v="7"/>
    <n v="0"/>
    <n v="0"/>
    <n v="11.025"/>
    <n v="11.025"/>
    <n v="11.025"/>
    <n v="11.025"/>
    <n v="20"/>
    <s v="CATIVO"/>
    <n v="0"/>
    <n v="0"/>
    <n v="34"/>
    <n v="52"/>
    <n v="0"/>
    <n v="418.93"/>
    <n v="145.38"/>
    <m/>
    <n v="515.35815853077861"/>
    <n v="140.26354224348123"/>
    <n v="0"/>
    <n v="848.48399999999981"/>
    <n v="0"/>
    <n v="461.3763351725259"/>
    <x v="3"/>
  </r>
  <r>
    <s v="Regular"/>
    <x v="2"/>
    <x v="1"/>
    <x v="2"/>
    <x v="8"/>
    <x v="0"/>
    <x v="0"/>
    <x v="1"/>
    <x v="8"/>
    <n v="0"/>
    <n v="0"/>
    <n v="227.773"/>
    <n v="227.773"/>
    <n v="227.773"/>
    <n v="227.773"/>
    <n v="1141"/>
    <s v="CATIVO"/>
    <n v="0"/>
    <n v="0"/>
    <n v="34"/>
    <n v="52"/>
    <n v="0"/>
    <n v="418.93"/>
    <n v="145.38"/>
    <m/>
    <n v="515.35815853077861"/>
    <n v="140.26354224348123"/>
    <n v="0"/>
    <n v="17529.410079999994"/>
    <n v="0"/>
    <n v="9531.8886159865524"/>
    <x v="3"/>
  </r>
  <r>
    <s v="Refaturamento - Regular"/>
    <x v="2"/>
    <x v="1"/>
    <x v="2"/>
    <x v="8"/>
    <x v="0"/>
    <x v="0"/>
    <x v="1"/>
    <x v="8"/>
    <n v="0"/>
    <n v="0"/>
    <n v="-2.93"/>
    <n v="-2.93"/>
    <n v="-2.93"/>
    <n v="-2.93"/>
    <n v="0"/>
    <s v="CATIVO"/>
    <n v="0"/>
    <n v="0"/>
    <n v="34"/>
    <n v="52"/>
    <n v="0"/>
    <n v="418.93"/>
    <n v="145.38"/>
    <m/>
    <n v="515.35815853077861"/>
    <n v="140.26354224348123"/>
    <n v="0"/>
    <n v="-225.49279999999996"/>
    <n v="0"/>
    <n v="-122.61520744267581"/>
    <x v="3"/>
  </r>
  <r>
    <s v="Sistema de Compensação"/>
    <x v="2"/>
    <x v="1"/>
    <x v="2"/>
    <x v="8"/>
    <x v="0"/>
    <x v="0"/>
    <x v="1"/>
    <x v="8"/>
    <n v="0"/>
    <n v="0"/>
    <n v="12.616"/>
    <n v="12.616"/>
    <n v="12.616"/>
    <n v="12.616"/>
    <n v="20"/>
    <s v="CATIVO"/>
    <n v="0"/>
    <n v="0"/>
    <n v="34"/>
    <n v="52"/>
    <n v="0"/>
    <n v="418.93"/>
    <n v="145.38"/>
    <m/>
    <n v="515.35815853077861"/>
    <n v="140.26354224348123"/>
    <n v="0"/>
    <n v="970.92735999999968"/>
    <n v="0"/>
    <n v="527.95681129583545"/>
    <x v="3"/>
  </r>
  <r>
    <s v="Regular"/>
    <x v="2"/>
    <x v="1"/>
    <x v="2"/>
    <x v="8"/>
    <x v="0"/>
    <x v="0"/>
    <x v="1"/>
    <x v="9"/>
    <n v="0"/>
    <n v="0"/>
    <n v="249.512"/>
    <n v="249.512"/>
    <n v="249.512"/>
    <n v="249.512"/>
    <n v="1141"/>
    <s v="CATIVO"/>
    <n v="0"/>
    <n v="0"/>
    <n v="34"/>
    <n v="52"/>
    <n v="0"/>
    <n v="418.93"/>
    <n v="145.38"/>
    <m/>
    <n v="515.35815853077861"/>
    <n v="140.26354224348123"/>
    <n v="0"/>
    <n v="19202.443519999993"/>
    <n v="0"/>
    <n v="10441.626498101341"/>
    <x v="3"/>
  </r>
  <r>
    <s v="Sistema de Compensação"/>
    <x v="2"/>
    <x v="1"/>
    <x v="2"/>
    <x v="8"/>
    <x v="0"/>
    <x v="0"/>
    <x v="1"/>
    <x v="9"/>
    <n v="0"/>
    <n v="0"/>
    <n v="25.966000000000001"/>
    <n v="25.966000000000001"/>
    <n v="25.966000000000001"/>
    <n v="25.966000000000001"/>
    <n v="22"/>
    <s v="CATIVO"/>
    <n v="0"/>
    <n v="0"/>
    <n v="34"/>
    <n v="52"/>
    <n v="0"/>
    <n v="418.93"/>
    <n v="145.38"/>
    <m/>
    <n v="515.35815853077861"/>
    <n v="140.26354224348123"/>
    <n v="0"/>
    <n v="1998.3433599999996"/>
    <n v="0"/>
    <n v="1086.6301967428396"/>
    <x v="3"/>
  </r>
  <r>
    <s v="Regular"/>
    <x v="2"/>
    <x v="1"/>
    <x v="2"/>
    <x v="8"/>
    <x v="0"/>
    <x v="0"/>
    <x v="1"/>
    <x v="10"/>
    <n v="0"/>
    <n v="0"/>
    <n v="213.47"/>
    <n v="213.47"/>
    <n v="213.47"/>
    <n v="213.47"/>
    <n v="1135"/>
    <s v="CATIVO"/>
    <n v="0"/>
    <n v="0"/>
    <n v="34"/>
    <n v="52"/>
    <n v="0"/>
    <n v="418.93"/>
    <n v="145.38"/>
    <m/>
    <n v="515.35815853077861"/>
    <n v="140.26354224348123"/>
    <n v="0"/>
    <n v="16428.651199999997"/>
    <n v="0"/>
    <n v="8933.3339019754276"/>
    <x v="3"/>
  </r>
  <r>
    <s v="Sistema de Compensação"/>
    <x v="2"/>
    <x v="1"/>
    <x v="2"/>
    <x v="8"/>
    <x v="0"/>
    <x v="0"/>
    <x v="1"/>
    <x v="10"/>
    <n v="0"/>
    <n v="0"/>
    <n v="16.984000000000002"/>
    <n v="16.984000000000002"/>
    <n v="16.984000000000002"/>
    <n v="16.984000000000002"/>
    <n v="20"/>
    <s v="CATIVO"/>
    <n v="0"/>
    <n v="0"/>
    <n v="34"/>
    <n v="52"/>
    <n v="0"/>
    <n v="418.93"/>
    <n v="145.38"/>
    <m/>
    <n v="515.35815853077861"/>
    <n v="140.26354224348123"/>
    <n v="0"/>
    <n v="1307.0886399999997"/>
    <n v="0"/>
    <n v="710.74972123085536"/>
    <x v="3"/>
  </r>
  <r>
    <s v="Regular"/>
    <x v="2"/>
    <x v="1"/>
    <x v="2"/>
    <x v="8"/>
    <x v="0"/>
    <x v="0"/>
    <x v="1"/>
    <x v="11"/>
    <n v="0"/>
    <n v="0"/>
    <n v="236.98099999999999"/>
    <n v="236.98099999999999"/>
    <n v="236.98099999999999"/>
    <n v="236.98099999999999"/>
    <n v="1125"/>
    <s v="CATIVO"/>
    <n v="0"/>
    <n v="0"/>
    <n v="34"/>
    <n v="52"/>
    <n v="0"/>
    <n v="418.93"/>
    <n v="145.38"/>
    <m/>
    <n v="515.35815853077861"/>
    <n v="140.26354224348123"/>
    <n v="0"/>
    <n v="18238.057759999996"/>
    <n v="0"/>
    <n v="9917.2267832671514"/>
    <x v="3"/>
  </r>
  <r>
    <s v="Sistema de Compensação"/>
    <x v="2"/>
    <x v="1"/>
    <x v="2"/>
    <x v="8"/>
    <x v="0"/>
    <x v="0"/>
    <x v="1"/>
    <x v="11"/>
    <n v="0"/>
    <n v="0"/>
    <n v="15.641999999999999"/>
    <n v="15.641999999999999"/>
    <n v="15.641999999999999"/>
    <n v="15.641999999999999"/>
    <n v="21"/>
    <s v="CATIVO"/>
    <n v="0"/>
    <n v="0"/>
    <n v="34"/>
    <n v="52"/>
    <n v="0"/>
    <n v="418.93"/>
    <n v="145.38"/>
    <m/>
    <n v="515.35815853077861"/>
    <n v="140.26354224348123"/>
    <n v="0"/>
    <n v="1203.8083199999996"/>
    <n v="0"/>
    <n v="654.58944533048975"/>
    <x v="3"/>
  </r>
  <r>
    <s v="Regular"/>
    <x v="3"/>
    <x v="1"/>
    <x v="0"/>
    <x v="0"/>
    <x v="0"/>
    <x v="0"/>
    <x v="1"/>
    <x v="0"/>
    <n v="0"/>
    <n v="0"/>
    <n v="7.6340000000000003"/>
    <n v="7.1759599999999999"/>
    <n v="7.6340000000000003"/>
    <n v="7.1759599999999999"/>
    <n v="13"/>
    <s v="CATIVO"/>
    <n v="0"/>
    <n v="0"/>
    <n v="50"/>
    <n v="83"/>
    <n v="0"/>
    <n v="476.06"/>
    <n v="165.21"/>
    <m/>
    <n v="548.25336013912624"/>
    <n v="149.21653430157579"/>
    <n v="0"/>
    <n v="293.72731080000028"/>
    <n v="0"/>
    <n v="319.46911044961951"/>
    <x v="0"/>
  </r>
  <r>
    <s v="Regular"/>
    <x v="3"/>
    <x v="1"/>
    <x v="0"/>
    <x v="0"/>
    <x v="0"/>
    <x v="0"/>
    <x v="1"/>
    <x v="1"/>
    <n v="0"/>
    <n v="0"/>
    <n v="7.2930000000000001"/>
    <n v="6.8554199999999996"/>
    <n v="7.2930000000000001"/>
    <n v="6.8554199999999996"/>
    <n v="12"/>
    <s v="CATIVO"/>
    <n v="0"/>
    <n v="0"/>
    <n v="50"/>
    <n v="83"/>
    <n v="0"/>
    <n v="476.06"/>
    <n v="165.21"/>
    <m/>
    <n v="548.25336013912624"/>
    <n v="149.21653430157579"/>
    <n v="0"/>
    <n v="280.60692660000035"/>
    <n v="0"/>
    <n v="305.19887640936275"/>
    <x v="0"/>
  </r>
  <r>
    <s v="Regular"/>
    <x v="3"/>
    <x v="1"/>
    <x v="0"/>
    <x v="0"/>
    <x v="0"/>
    <x v="0"/>
    <x v="1"/>
    <x v="2"/>
    <n v="0"/>
    <n v="0"/>
    <n v="6.923"/>
    <n v="6.5076199999999993"/>
    <n v="6.923"/>
    <n v="6.5076199999999993"/>
    <n v="12"/>
    <s v="CATIVO"/>
    <n v="0"/>
    <n v="0"/>
    <n v="50"/>
    <n v="83"/>
    <n v="0"/>
    <n v="476.06"/>
    <n v="165.21"/>
    <m/>
    <n v="548.25336013912624"/>
    <n v="149.21653430157579"/>
    <n v="0"/>
    <n v="266.37073260000045"/>
    <n v="0"/>
    <n v="289.71504475277936"/>
    <x v="0"/>
  </r>
  <r>
    <s v="Regular"/>
    <x v="3"/>
    <x v="1"/>
    <x v="0"/>
    <x v="0"/>
    <x v="0"/>
    <x v="0"/>
    <x v="1"/>
    <x v="3"/>
    <n v="0"/>
    <n v="0"/>
    <n v="7.5789999999999997"/>
    <n v="7.1242599999999996"/>
    <n v="7.5789999999999997"/>
    <n v="7.1242599999999996"/>
    <n v="12"/>
    <s v="CATIVO"/>
    <n v="0"/>
    <n v="0"/>
    <n v="50"/>
    <n v="83"/>
    <n v="0"/>
    <n v="476.06"/>
    <n v="165.21"/>
    <m/>
    <n v="548.25336013912624"/>
    <n v="149.21653430157579"/>
    <n v="0"/>
    <n v="291.6111198000001"/>
    <n v="0"/>
    <n v="317.16745979796497"/>
    <x v="0"/>
  </r>
  <r>
    <s v="Regular"/>
    <x v="3"/>
    <x v="1"/>
    <x v="0"/>
    <x v="0"/>
    <x v="0"/>
    <x v="0"/>
    <x v="1"/>
    <x v="4"/>
    <n v="0"/>
    <n v="0"/>
    <n v="12.791"/>
    <n v="12.023539999999999"/>
    <n v="12.791"/>
    <n v="12.023539999999999"/>
    <n v="12"/>
    <s v="CATIVO"/>
    <n v="0"/>
    <n v="0"/>
    <n v="50"/>
    <n v="83"/>
    <n v="0"/>
    <n v="476.06"/>
    <n v="165.21"/>
    <m/>
    <n v="548.25336013912624"/>
    <n v="149.21653430157579"/>
    <n v="0"/>
    <n v="492.14907420000105"/>
    <n v="0"/>
    <n v="535.28024518746236"/>
    <x v="0"/>
  </r>
  <r>
    <s v="Regular"/>
    <x v="3"/>
    <x v="1"/>
    <x v="0"/>
    <x v="0"/>
    <x v="0"/>
    <x v="0"/>
    <x v="1"/>
    <x v="5"/>
    <n v="0"/>
    <n v="0"/>
    <n v="8.4130000000000003"/>
    <n v="7.90822"/>
    <n v="8.4130000000000003"/>
    <n v="7.90822"/>
    <n v="12"/>
    <s v="CATIVO"/>
    <n v="0"/>
    <n v="0"/>
    <n v="50"/>
    <n v="83"/>
    <n v="0"/>
    <n v="476.06"/>
    <n v="165.21"/>
    <m/>
    <n v="548.25336013912624"/>
    <n v="149.21653430157579"/>
    <n v="0"/>
    <n v="323.70027060000018"/>
    <n v="0"/>
    <n v="352.06885331577774"/>
    <x v="0"/>
  </r>
  <r>
    <s v="Regular"/>
    <x v="3"/>
    <x v="1"/>
    <x v="0"/>
    <x v="0"/>
    <x v="0"/>
    <x v="0"/>
    <x v="1"/>
    <x v="6"/>
    <n v="0"/>
    <n v="0"/>
    <n v="6.742"/>
    <n v="6.3374800000000002"/>
    <n v="6.742"/>
    <n v="6.3374800000000002"/>
    <n v="12"/>
    <s v="CATIVO"/>
    <n v="0"/>
    <n v="0"/>
    <n v="50"/>
    <n v="83"/>
    <n v="0"/>
    <n v="476.06"/>
    <n v="165.21"/>
    <m/>
    <n v="548.25336013912624"/>
    <n v="149.21653430157579"/>
    <n v="0"/>
    <n v="259.40654039999987"/>
    <n v="0"/>
    <n v="282.14052169915266"/>
    <x v="0"/>
  </r>
  <r>
    <s v="Regular"/>
    <x v="3"/>
    <x v="1"/>
    <x v="0"/>
    <x v="0"/>
    <x v="0"/>
    <x v="0"/>
    <x v="1"/>
    <x v="7"/>
    <n v="0"/>
    <n v="0"/>
    <n v="6.8230000000000004"/>
    <n v="6.4136199999999999"/>
    <n v="6.8230000000000004"/>
    <n v="6.4136199999999999"/>
    <n v="12"/>
    <s v="CATIVO"/>
    <n v="0"/>
    <n v="0"/>
    <n v="50"/>
    <n v="83"/>
    <n v="0"/>
    <n v="476.06"/>
    <n v="165.21"/>
    <m/>
    <n v="548.25336013912624"/>
    <n v="149.21653430157579"/>
    <n v="0"/>
    <n v="262.52311260000033"/>
    <n v="0"/>
    <n v="285.53022538613499"/>
    <x v="0"/>
  </r>
  <r>
    <s v="Regular"/>
    <x v="3"/>
    <x v="1"/>
    <x v="0"/>
    <x v="0"/>
    <x v="0"/>
    <x v="0"/>
    <x v="1"/>
    <x v="8"/>
    <n v="0"/>
    <n v="0"/>
    <n v="11.523"/>
    <n v="10.831619999999999"/>
    <n v="11.523"/>
    <n v="10.831619999999999"/>
    <n v="12"/>
    <s v="CATIVO"/>
    <n v="0"/>
    <n v="0"/>
    <n v="50"/>
    <n v="83"/>
    <n v="0"/>
    <n v="476.06"/>
    <n v="165.21"/>
    <m/>
    <n v="548.25336013912624"/>
    <n v="149.21653430157579"/>
    <n v="0"/>
    <n v="443.36125260000034"/>
    <n v="0"/>
    <n v="482.21673561841294"/>
    <x v="0"/>
  </r>
  <r>
    <s v="Regular"/>
    <x v="3"/>
    <x v="1"/>
    <x v="0"/>
    <x v="0"/>
    <x v="0"/>
    <x v="0"/>
    <x v="1"/>
    <x v="9"/>
    <n v="0"/>
    <n v="0"/>
    <n v="5.4969999999999999"/>
    <n v="5.1671800000000001"/>
    <n v="5.4969999999999999"/>
    <n v="5.1671800000000001"/>
    <n v="14"/>
    <s v="CATIVO"/>
    <n v="0"/>
    <n v="0"/>
    <n v="50"/>
    <n v="83"/>
    <n v="0"/>
    <n v="476.06"/>
    <n v="165.21"/>
    <m/>
    <n v="548.25336013912624"/>
    <n v="149.21653430157579"/>
    <n v="0"/>
    <n v="211.50367139999986"/>
    <n v="0"/>
    <n v="230.03952058443221"/>
    <x v="0"/>
  </r>
  <r>
    <s v="Regular"/>
    <x v="3"/>
    <x v="1"/>
    <x v="0"/>
    <x v="0"/>
    <x v="0"/>
    <x v="0"/>
    <x v="1"/>
    <x v="10"/>
    <n v="0"/>
    <n v="0"/>
    <n v="6.97"/>
    <n v="6.5518000000000001"/>
    <n v="6.97"/>
    <n v="6.5518000000000001"/>
    <n v="12"/>
    <s v="CATIVO"/>
    <n v="0"/>
    <n v="0"/>
    <n v="50"/>
    <n v="83"/>
    <n v="0"/>
    <n v="476.06"/>
    <n v="165.21"/>
    <m/>
    <n v="548.25336013912624"/>
    <n v="149.21653430157579"/>
    <n v="0"/>
    <n v="268.1791139999998"/>
    <n v="0"/>
    <n v="291.68190985510137"/>
    <x v="0"/>
  </r>
  <r>
    <s v="Regular"/>
    <x v="3"/>
    <x v="1"/>
    <x v="0"/>
    <x v="0"/>
    <x v="0"/>
    <x v="0"/>
    <x v="1"/>
    <x v="11"/>
    <n v="0"/>
    <n v="0"/>
    <n v="10.010999999999999"/>
    <n v="9.4103399999999997"/>
    <n v="10.010999999999999"/>
    <n v="9.4103399999999997"/>
    <n v="12"/>
    <s v="CATIVO"/>
    <n v="0"/>
    <n v="0"/>
    <n v="50"/>
    <n v="83"/>
    <n v="0"/>
    <n v="476.06"/>
    <n v="165.21"/>
    <m/>
    <n v="548.25336013912624"/>
    <n v="149.21653430157579"/>
    <n v="0"/>
    <n v="385.18523819999973"/>
    <n v="0"/>
    <n v="418.9422667947517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0CC1DC-B0DE-4E93-B187-2C5F7D4EA8A8}" name="Efeito Resumo" cacheId="10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92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9">
        <item x="0"/>
        <item x="5"/>
        <item x="7"/>
        <item x="1"/>
        <item x="6"/>
        <item x="3"/>
        <item x="4"/>
        <item x="2"/>
        <item t="default"/>
      </items>
    </pivotField>
    <pivotField axis="axisRow" showAll="0">
      <items count="12">
        <item x="7"/>
        <item x="1"/>
        <item x="8"/>
        <item x="9"/>
        <item x="10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91">
    <i>
      <x/>
    </i>
    <i r="1">
      <x/>
    </i>
    <i r="2">
      <x v="1"/>
    </i>
    <i r="3">
      <x/>
    </i>
    <i r="4">
      <x v="5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/>
    </i>
    <i r="3">
      <x v="5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10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6"/>
    </i>
    <i r="4">
      <x/>
    </i>
    <i r="5">
      <x/>
    </i>
    <i r="6">
      <x/>
    </i>
    <i r="7">
      <x v="1"/>
    </i>
    <i r="8">
      <x v="3"/>
    </i>
    <i r="8">
      <x v="4"/>
    </i>
    <i r="8">
      <x v="5"/>
    </i>
    <i r="8">
      <x v="6"/>
    </i>
    <i r="8">
      <x v="7"/>
    </i>
    <i r="5">
      <x v="1"/>
    </i>
    <i r="6">
      <x/>
    </i>
    <i r="7">
      <x v="1"/>
    </i>
    <i r="8">
      <x v="3"/>
    </i>
    <i r="8">
      <x v="4"/>
    </i>
    <i r="8">
      <x v="5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/>
    </i>
    <i r="3">
      <x v="2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/>
    </i>
    <i r="7">
      <x v="1"/>
    </i>
    <i r="8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26">
    <format dxfId="38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38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8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38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16" type="button" dataOnly="0" labelOnly="1" outline="0" axis="axisRow" fieldPosition="0"/>
    </format>
    <format dxfId="376">
      <pivotArea dataOnly="0" labelOnly="1" fieldPosition="0">
        <references count="1">
          <reference field="16" count="0"/>
        </references>
      </pivotArea>
    </format>
    <format dxfId="375">
      <pivotArea dataOnly="0" labelOnly="1" fieldPosition="0">
        <references count="2">
          <reference field="1" count="0"/>
          <reference field="16" count="0" selected="0"/>
        </references>
      </pivotArea>
    </format>
    <format dxfId="37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37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37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371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370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369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3">
            <x v="0"/>
            <x v="3"/>
            <x v="7"/>
          </reference>
          <reference field="16" count="0" selected="0"/>
        </references>
      </pivotArea>
    </format>
    <format dxfId="36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36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36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65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36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0" selected="0"/>
        </references>
      </pivotArea>
    </format>
    <format dxfId="36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0" selected="0"/>
        </references>
      </pivotArea>
    </format>
    <format dxfId="36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36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5">
            <x v="6"/>
            <x v="7"/>
            <x v="8"/>
            <x v="9"/>
            <x v="10"/>
          </reference>
          <reference field="16" count="0" selected="0"/>
        </references>
      </pivotArea>
    </format>
    <format dxfId="36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3">
            <x v="0"/>
            <x v="2"/>
            <x v="5"/>
          </reference>
          <reference field="16" count="0" selected="0"/>
        </references>
      </pivotArea>
    </format>
    <format dxfId="35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5"/>
          </reference>
          <reference field="16" count="0" selected="0"/>
        </references>
      </pivotArea>
    </format>
    <format dxfId="35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5"/>
          </reference>
          <reference field="16" count="0" selected="0"/>
        </references>
      </pivotArea>
    </format>
    <format dxfId="35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0" selected="0"/>
        </references>
      </pivotArea>
    </format>
    <format dxfId="35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5"/>
          </reference>
          <reference field="16" count="0" selected="0"/>
        </references>
      </pivotArea>
    </format>
    <format dxfId="35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354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3"/>
            <x v="4"/>
          </reference>
          <reference field="16" count="0" selected="0"/>
        </references>
      </pivotArea>
    </format>
    <format dxfId="35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5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51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5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4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4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4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34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>
            <x v="2"/>
          </reference>
          <reference field="16" count="0" selected="0"/>
        </references>
      </pivotArea>
    </format>
    <format dxfId="34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4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34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4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4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4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39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3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37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36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3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4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2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2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2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2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2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1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1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17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16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15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1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1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1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1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0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7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6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9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9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9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8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8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8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28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3"/>
            <x v="4"/>
            <x v="5"/>
          </reference>
          <reference field="16" count="0" selected="0"/>
        </references>
      </pivotArea>
    </format>
    <format dxfId="27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1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70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16" count="0" selected="0"/>
        </references>
      </pivotArea>
    </format>
    <format dxfId="269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68">
      <pivotArea type="all" dataOnly="0" outline="0" fieldPosition="0"/>
    </format>
    <format dxfId="267">
      <pivotArea outline="0" collapsedLevelsAreSubtotals="1" fieldPosition="0"/>
    </format>
    <format dxfId="266">
      <pivotArea field="16" type="button" dataOnly="0" labelOnly="1" outline="0" axis="axisRow" fieldPosition="0"/>
    </format>
    <format dxfId="265">
      <pivotArea dataOnly="0" labelOnly="1" fieldPosition="0">
        <references count="1">
          <reference field="16" count="0"/>
        </references>
      </pivotArea>
    </format>
    <format dxfId="264">
      <pivotArea dataOnly="0" labelOnly="1" fieldPosition="0">
        <references count="2">
          <reference field="1" count="0"/>
          <reference field="16" count="0" selected="0"/>
        </references>
      </pivotArea>
    </format>
    <format dxfId="26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16" count="0" selected="0"/>
        </references>
      </pivotArea>
    </format>
    <format dxfId="26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16" count="0" selected="0"/>
        </references>
      </pivotArea>
    </format>
    <format dxfId="26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16" count="0" selected="0"/>
        </references>
      </pivotArea>
    </format>
    <format dxfId="260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16" count="0" selected="0"/>
        </references>
      </pivotArea>
    </format>
    <format dxfId="259">
      <pivotArea dataOnly="0" labelOnly="1" fieldPosition="0">
        <references count="3">
          <reference field="1" count="1" selected="0">
            <x v="4"/>
          </reference>
          <reference field="2" count="1">
            <x v="0"/>
          </reference>
          <reference field="16" count="0" selected="0"/>
        </references>
      </pivotArea>
    </format>
    <format dxfId="258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3">
            <x v="0"/>
            <x v="3"/>
            <x v="7"/>
          </reference>
          <reference field="16" count="0" selected="0"/>
        </references>
      </pivotArea>
    </format>
    <format dxfId="25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5"/>
          </reference>
          <reference field="16" count="0" selected="0"/>
        </references>
      </pivotArea>
    </format>
    <format dxfId="25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6"/>
          </reference>
          <reference field="16" count="0" selected="0"/>
        </references>
      </pivotArea>
    </format>
    <format dxfId="255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254">
      <pivotArea dataOnly="0" labelOnly="1" fieldPosition="0">
        <references count="4">
          <reference field="1" count="1" selected="0">
            <x v="4"/>
          </reference>
          <reference field="2" count="1" selected="0">
            <x v="0"/>
          </reference>
          <reference field="3" count="1">
            <x v="2"/>
          </reference>
          <reference field="16" count="0" selected="0"/>
        </references>
      </pivotArea>
    </format>
    <format dxfId="25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5"/>
          </reference>
          <reference field="16" count="0" selected="0"/>
        </references>
      </pivotArea>
    </format>
    <format dxfId="252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  <reference field="16" count="0" selected="0"/>
        </references>
      </pivotArea>
    </format>
    <format dxfId="25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25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5">
            <x v="6"/>
            <x v="7"/>
            <x v="8"/>
            <x v="9"/>
            <x v="10"/>
          </reference>
          <reference field="16" count="0" selected="0"/>
        </references>
      </pivotArea>
    </format>
    <format dxfId="24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3">
            <x v="0"/>
            <x v="2"/>
            <x v="5"/>
          </reference>
          <reference field="16" count="0" selected="0"/>
        </references>
      </pivotArea>
    </format>
    <format dxfId="248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5"/>
          </reference>
          <reference field="16" count="0" selected="0"/>
        </references>
      </pivotArea>
    </format>
    <format dxfId="24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5"/>
          </reference>
          <reference field="16" count="0" selected="0"/>
        </references>
      </pivotArea>
    </format>
    <format dxfId="246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5"/>
          </reference>
          <reference field="16" count="0" selected="0"/>
        </references>
      </pivotArea>
    </format>
    <format dxfId="24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>
            <x v="5"/>
          </reference>
          <reference field="16" count="0" selected="0"/>
        </references>
      </pivotArea>
    </format>
    <format dxfId="24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243">
      <pivotArea dataOnly="0" labelOnly="1" fieldPosition="0">
        <references count="5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2">
            <x v="3"/>
            <x v="4"/>
          </reference>
          <reference field="16" count="0" selected="0"/>
        </references>
      </pivotArea>
    </format>
    <format dxfId="24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41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4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23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23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23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23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23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>
            <x v="2"/>
          </reference>
          <reference field="16" count="0" selected="0"/>
        </references>
      </pivotArea>
    </format>
    <format dxfId="23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23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23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31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3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29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2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22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226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225">
      <pivotArea dataOnly="0" labelOnly="1" fieldPosition="0">
        <references count="6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224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2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215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1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21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21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10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0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0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0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06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05">
      <pivotArea dataOnly="0" labelOnly="1" fieldPosition="0">
        <references count="7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20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203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20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20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20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1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9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8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88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8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86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85">
      <pivotArea dataOnly="0" labelOnly="1" fieldPosition="0">
        <references count="8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18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8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8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8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8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7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7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17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7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17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7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7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7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7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5"/>
          </reference>
          <reference field="4" count="1" selected="0">
            <x v="1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7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16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3"/>
            <x v="4"/>
            <x v="5"/>
          </reference>
          <reference field="16" count="0" selected="0"/>
        </references>
      </pivotArea>
    </format>
    <format dxfId="16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6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2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4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60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159">
      <pivotArea dataOnly="0" labelOnly="1" fieldPosition="0">
        <references count="9">
          <reference field="1" count="1" selected="0">
            <x v="4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16" count="0" selected="0"/>
        </references>
      </pivotArea>
    </format>
    <format dxfId="15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B37EE-146F-470A-B34E-3AF8B16C3FDA}" name="Subsidio Resumo" cacheId="10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15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10">
        <item x="6"/>
        <item x="0"/>
        <item x="7"/>
        <item x="8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0"/>
        <item x="2"/>
        <item x="4"/>
        <item x="3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14">
    <i>
      <x/>
    </i>
    <i r="1">
      <x/>
    </i>
    <i r="2">
      <x v="1"/>
    </i>
    <i r="3">
      <x v="2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 v="3"/>
    </i>
    <i r="8">
      <x v="4"/>
    </i>
    <i r="8">
      <x v="5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 v="3"/>
    </i>
    <i r="8">
      <x v="4"/>
    </i>
    <i r="8">
      <x v="5"/>
    </i>
    <i r="8">
      <x v="6"/>
    </i>
    <i r="8">
      <x v="7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58">
    <format dxfId="157">
      <pivotArea outline="0" collapsedLevelsAreSubtotals="1" fieldPosition="0"/>
    </format>
    <format dxfId="15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field="31" type="button" dataOnly="0" labelOnly="1" outline="0" axis="axisRow" fieldPosition="0"/>
    </format>
    <format dxfId="152">
      <pivotArea dataOnly="0" labelOnly="1" fieldPosition="0">
        <references count="1">
          <reference field="31" count="0"/>
        </references>
      </pivotArea>
    </format>
    <format dxfId="151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15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149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148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147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146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145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144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143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14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14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14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3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13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13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13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13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134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33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32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131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13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12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12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27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2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2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2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2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1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1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1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16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1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1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1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1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1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1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0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0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0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0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0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04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03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0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0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0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99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9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9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9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9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9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9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9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91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9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8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8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6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3"/>
            <x v="4"/>
            <x v="5"/>
          </reference>
          <reference field="31" count="1" selected="0">
            <x v="2"/>
          </reference>
        </references>
      </pivotArea>
    </format>
    <format dxfId="8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8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3"/>
            <x v="4"/>
            <x v="5"/>
            <x v="6"/>
            <x v="7"/>
          </reference>
          <reference field="31" count="1" selected="0">
            <x v="3"/>
          </reference>
        </references>
      </pivotArea>
    </format>
    <format dxfId="8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8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7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7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31" type="button" dataOnly="0" labelOnly="1" outline="0" axis="axisRow" fieldPosition="0"/>
    </format>
    <format dxfId="74">
      <pivotArea dataOnly="0" labelOnly="1" fieldPosition="0">
        <references count="1">
          <reference field="31" count="0"/>
        </references>
      </pivotArea>
    </format>
    <format dxfId="73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7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71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70">
      <pivotArea dataOnly="0" labelOnly="1" fieldPosition="0">
        <references count="2">
          <reference field="1" count="1">
            <x v="2"/>
          </reference>
          <reference field="31" count="1" selected="0">
            <x v="3"/>
          </reference>
        </references>
      </pivotArea>
    </format>
    <format dxfId="69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68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67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66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65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6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63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62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61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60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59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5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57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5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5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5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53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52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5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50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49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4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4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4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4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4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4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38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3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3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3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3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3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6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5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3">
            <x v="3"/>
            <x v="4"/>
            <x v="5"/>
          </reference>
          <reference field="31" count="1" selected="0">
            <x v="2"/>
          </reference>
        </references>
      </pivotArea>
    </format>
    <format dxfId="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5">
            <x v="3"/>
            <x v="4"/>
            <x v="5"/>
            <x v="6"/>
            <x v="7"/>
          </reference>
          <reference field="31" count="1" selected="0">
            <x v="3"/>
          </reference>
        </references>
      </pivotArea>
    </format>
    <format dxfId="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2C9CF6-78D0-4D9D-B5AF-36B5DD6EB353}" name="Efeito" displayName="Efeito" ref="A1:AG345" totalsRowShown="0" headerRowDxfId="452" dataDxfId="451">
  <autoFilter ref="A1:AG345" xr:uid="{E62C9CF6-78D0-4D9D-B5AF-36B5DD6EB353}"/>
  <tableColumns count="33">
    <tableColumn id="1" xr3:uid="{30052156-732D-4DE8-A724-7F36DDB0F278}" name="TipoMercado" dataDxfId="450"/>
    <tableColumn id="2" xr3:uid="{88B363B0-C748-499E-912D-123283E7A642}" name="Subgrupo" dataDxfId="449"/>
    <tableColumn id="3" xr3:uid="{191013AF-5619-4BE1-82FD-E6B6208B1EC5}" name="Modalidade" dataDxfId="448"/>
    <tableColumn id="4" xr3:uid="{FEC4F5E8-70D0-4FE1-8802-162BB9129864}" name="Classe" dataDxfId="447"/>
    <tableColumn id="5" xr3:uid="{2F6337C8-436B-446F-9EFA-0F622143EE76}" name="Subclasse" dataDxfId="446"/>
    <tableColumn id="6" xr3:uid="{D70D4F58-9126-475A-AD5F-DDB1D08CF83A}" name="Detalhe" dataDxfId="445"/>
    <tableColumn id="7" xr3:uid="{E098C1AC-7265-4EDF-A9C1-CA782334F566}" name="Agente" dataDxfId="444"/>
    <tableColumn id="8" xr3:uid="{A7E91E87-274B-4D62-ACAF-7E9BD849E0F5}" name="Posto" dataDxfId="443"/>
    <tableColumn id="9" xr3:uid="{5B468E91-5A5B-4880-A7AB-1A61A6BFD416}" name="AnoMes" dataDxfId="442"/>
    <tableColumn id="10" xr3:uid="{71C1296C-0F12-43C8-B0C2-69B4C442E2B3}" name="D" dataDxfId="441"/>
    <tableColumn id="11" xr3:uid="{0E65074E-8A46-4ECB-B675-95976267DBF6}" name="Daj" dataDxfId="440"/>
    <tableColumn id="12" xr3:uid="{47B10C27-9C5A-4C65-B8E8-1C4C1AD080B4}" name="TUSD_E" dataDxfId="439"/>
    <tableColumn id="13" xr3:uid="{02238F01-C5C8-49C4-B7A8-4AFED3262E5C}" name="TUSD_Eaj" dataDxfId="438"/>
    <tableColumn id="14" xr3:uid="{D1FDE372-EDDC-49A6-85C0-1B7D38C99B62}" name="TE_E" dataDxfId="437"/>
    <tableColumn id="15" xr3:uid="{A2DBEDE0-16F9-4C99-B520-964F09A1B090}" name="TE_Eaj" dataDxfId="436"/>
    <tableColumn id="16" xr3:uid="{E8D9448B-D85D-48EF-A55B-9DCBC86FA55A}" name="UC" dataDxfId="435"/>
    <tableColumn id="17" xr3:uid="{AC881A88-9935-4C9D-A8D9-2DB43B954B8D}" name="OPÇÃO" dataDxfId="434"/>
    <tableColumn id="18" xr3:uid="{538AB664-4DF0-4948-A717-4BAAD142AD89}" name="CóD. AUX." dataDxfId="433"/>
    <tableColumn id="19" xr3:uid="{1A06A611-5D4E-4EDC-85AB-CF70C3C141F2}" name="CóD. AUX. TUSD R$/kW" dataDxfId="432"/>
    <tableColumn id="20" xr3:uid="{EC2F9B51-D570-433B-8DB5-E1B81250D59D}" name="CóD. AUX. TUSD R$/MWh" dataDxfId="431"/>
    <tableColumn id="21" xr3:uid="{8A530E56-56C8-4F2F-84F6-99595690DD4E}" name="CóD. AUX. TE R$/MWh" dataDxfId="430"/>
    <tableColumn id="22" xr3:uid="{337639D6-6E8E-436E-953F-9C17D2AF22AF}" name="TUSD (R$/kW)" dataDxfId="429"/>
    <tableColumn id="23" xr3:uid="{442A8C53-68EC-4044-8777-109291FBF8AE}" name="TUSD (R$/MWh)" dataDxfId="428"/>
    <tableColumn id="24" xr3:uid="{00BB12B3-D854-431C-9D37-351BD38FDB27}" name="TE (R$/MWh)" dataDxfId="427"/>
    <tableColumn id="25" xr3:uid="{6CCF83C1-053F-4C7D-812D-86DDF0EE435C}" name="TUSD (R$/kW) NOVA" dataDxfId="426"/>
    <tableColumn id="26" xr3:uid="{F5E7BCCA-8830-496C-914B-8157E3FB4537}" name="TUSD (R$/MWh) NOVA" dataDxfId="425"/>
    <tableColumn id="27" xr3:uid="{6A9A56E0-0F24-43E6-9198-8D10AE84A5FE}" name="TE (R$/MWh) NOVA" dataDxfId="424"/>
    <tableColumn id="28" xr3:uid="{901ACDBC-DDDD-4EFF-A213-2A1C98842F2D}" name="RA0 ou RV - TUSD (kW)" dataDxfId="423"/>
    <tableColumn id="29" xr3:uid="{C59713CF-F576-4DE1-9EDA-A22C8C59C6CF}" name="RA0 ou RV - TUSD (MWh)" dataDxfId="422"/>
    <tableColumn id="30" xr3:uid="{A7DCC539-43DC-42F6-ABCB-7A404B912D85}" name="RA0 ou RV - TE (MWh)" dataDxfId="421"/>
    <tableColumn id="31" xr3:uid="{FF0C38CC-4F52-4A68-B386-CAA500367F3D}" name="RA1 ou RRD - TUSD (kW)" dataDxfId="420"/>
    <tableColumn id="32" xr3:uid="{ED3E4AE1-2A5D-4FCD-8735-CE5AD5C84B13}" name="RA1 ou RRD - TUSD (MWh)" dataDxfId="419"/>
    <tableColumn id="33" xr3:uid="{B105E91E-B535-458E-8959-7BC76090645B}" name="RA1 ou RRD - TE (MWh)" dataDxfId="4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EB4B42-3B29-4D06-8931-29DBD802092E}" name="Subsidio" displayName="Subsidio" ref="A1:AF156" totalsRowShown="0" headerRowDxfId="417" dataDxfId="416">
  <autoFilter ref="A1:AF156" xr:uid="{67EB4B42-3B29-4D06-8931-29DBD802092E}"/>
  <tableColumns count="32">
    <tableColumn id="1" xr3:uid="{4BDF102C-E148-422E-9B2D-1C7AA7A9CF63}" name="TipoMercado" dataDxfId="415"/>
    <tableColumn id="2" xr3:uid="{75D48875-ED4B-46E0-940E-328316001D7A}" name="Subgrupo" dataDxfId="414"/>
    <tableColumn id="3" xr3:uid="{1F5B3F10-131A-40FA-B1D9-AF9F3F6D28C4}" name="Modalidade" dataDxfId="413"/>
    <tableColumn id="4" xr3:uid="{AF5231B5-5FE9-457B-B055-8C061E6BD821}" name="Classe" dataDxfId="412"/>
    <tableColumn id="5" xr3:uid="{3AE82801-F031-4999-8A64-370131930DA1}" name="Subclasse" dataDxfId="411"/>
    <tableColumn id="6" xr3:uid="{81012A97-9723-4976-9A58-F88D97D6A4D0}" name="Detalhe" dataDxfId="410"/>
    <tableColumn id="7" xr3:uid="{D92FBFCD-94FD-49B8-A670-8F7BE68F255C}" name="Agente" dataDxfId="409"/>
    <tableColumn id="8" xr3:uid="{F7868B77-21BA-4026-BCD9-4196FF4286A9}" name="Posto" dataDxfId="408"/>
    <tableColumn id="9" xr3:uid="{D6C2B515-66BC-402F-99A1-9EBA7F277198}" name="AnoMes" dataDxfId="407"/>
    <tableColumn id="10" xr3:uid="{E744BA84-E092-4DE5-A222-800373CDD6B2}" name="D" dataDxfId="406"/>
    <tableColumn id="11" xr3:uid="{59D72323-9C77-4901-B3F7-5E5314F7F47D}" name="Daj" dataDxfId="405"/>
    <tableColumn id="12" xr3:uid="{127925A1-A6A9-4F87-A1D0-21652C0E846B}" name="TUSD_E" dataDxfId="404"/>
    <tableColumn id="13" xr3:uid="{3353AA90-783D-494B-B1D7-F8FB90478649}" name="TUSD_Eaj" dataDxfId="403"/>
    <tableColumn id="14" xr3:uid="{8A8E2876-D9E0-4C88-851B-22B496AA5C2F}" name="TE_E" dataDxfId="402"/>
    <tableColumn id="15" xr3:uid="{FBFF1E5D-B873-490E-A6B5-8CD369ED95A6}" name="TE_Eaj" dataDxfId="401"/>
    <tableColumn id="16" xr3:uid="{8FA2B99E-387B-42CF-BAB9-ACCAB8829387}" name="UC" dataDxfId="400"/>
    <tableColumn id="17" xr3:uid="{A6B5E1C6-9F27-4553-93DF-4D15E2D860EF}" name="OPÇÃO" dataDxfId="399"/>
    <tableColumn id="18" xr3:uid="{64D37F15-1F2E-417E-ACFF-F6122309B2FB}" name="CóD. AUX." dataDxfId="398"/>
    <tableColumn id="19" xr3:uid="{48B2EA27-E56B-4548-A9F7-FFA755F02186}" name="CóD. AUX. TUSD R$/kW" dataDxfId="397"/>
    <tableColumn id="20" xr3:uid="{C784D315-D821-4179-B50A-5228A8A6E269}" name="CóD. AUX. TUSD R$/MWh" dataDxfId="396"/>
    <tableColumn id="21" xr3:uid="{398CB3DF-7E51-435A-B2AA-C694A4D6F595}" name="CóD. AUX. TE R$/MWh" dataDxfId="395"/>
    <tableColumn id="22" xr3:uid="{AC7129C9-A71A-49C0-B722-CF5463F70FFA}" name="TUSD (R$/kW)" dataDxfId="394"/>
    <tableColumn id="23" xr3:uid="{725A3333-44C0-4127-8A29-98A1008301B4}" name="TUSD (R$/MWh)" dataDxfId="393"/>
    <tableColumn id="24" xr3:uid="{BF6E9536-D87B-4CA7-A04C-DC1FC21BC651}" name="TE (R$/MWh)" dataDxfId="392"/>
    <tableColumn id="25" xr3:uid="{7B2DB10A-D0BD-422B-8689-ABBAC277EAD8}" name="TUSD (R$/kW) NOVA" dataDxfId="391"/>
    <tableColumn id="26" xr3:uid="{0D6CB2D5-C808-4C3D-8D8E-67F83E49A35F}" name="TUSD (R$/MWh) NOVA" dataDxfId="390">
      <calculatedColumnFormula>('TUSD BE'!$AM$48+'TUSD BF'!$AM$48+'TUSD CVA'!$AM$48)*1</calculatedColumnFormula>
    </tableColumn>
    <tableColumn id="27" xr3:uid="{0C9B9478-A74C-4410-A44C-D59B230F2984}" name="TE (R$/MWh) NOVA" dataDxfId="389">
      <calculatedColumnFormula>('TE BE'!$AB$38+'TE BF'!$AB$38+'TE CVA'!$AB$38)*1</calculatedColumnFormula>
    </tableColumn>
    <tableColumn id="28" xr3:uid="{E2EBA3E1-811F-409D-8182-56A3E8AB5D63}" name="SUBSIDIO kW - TV" dataDxfId="388">
      <calculatedColumnFormula>(J2-K2)*V2</calculatedColumnFormula>
    </tableColumn>
    <tableColumn id="29" xr3:uid="{8F6AA249-DDA0-426C-9B77-F1651099D037}" name="SUBSIDIO MWh - TV" dataDxfId="387">
      <calculatedColumnFormula>(L2-M2)*W2+(N2-O2)*X2</calculatedColumnFormula>
    </tableColumn>
    <tableColumn id="30" xr3:uid="{30C44CB7-6D08-41F6-9EAD-48743AE1A12F}" name="SUBSIDIO kW - TN" dataDxfId="386">
      <calculatedColumnFormula>(J2-K2)*Y2</calculatedColumnFormula>
    </tableColumn>
    <tableColumn id="31" xr3:uid="{09E363BD-363C-4954-81A2-5ABE49787311}" name="SUBSIDIO MWh - TN" dataDxfId="385">
      <calculatedColumnFormula>(L2-M2)*Z2+(N2-O2)*AA2</calculatedColumnFormula>
    </tableColumn>
    <tableColumn id="32" xr3:uid="{F39E3FA2-D634-4210-BFA5-B9D7A67C5700}" name="TIPO" dataDxfId="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A62F-A331-4441-8674-63012EDFCD86}">
  <dimension ref="A1:W345"/>
  <sheetViews>
    <sheetView showGridLines="0" topLeftCell="L301" workbookViewId="0">
      <selection activeCell="T346" sqref="T346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2" width="7" style="4" bestFit="1" customWidth="1"/>
    <col min="13" max="13" width="8" style="4" bestFit="1" customWidth="1"/>
    <col min="14" max="16" width="7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90</v>
      </c>
      <c r="T1" s="1" t="s">
        <v>224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36</v>
      </c>
      <c r="D2" s="3" t="s">
        <v>39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4">
        <v>0</v>
      </c>
      <c r="L2" s="4">
        <v>204.73599999999999</v>
      </c>
      <c r="M2" s="4">
        <v>204.73599999999999</v>
      </c>
      <c r="N2" s="4">
        <v>204.73599999999999</v>
      </c>
      <c r="O2" s="4">
        <v>204.73599999999999</v>
      </c>
      <c r="P2" s="4">
        <v>0</v>
      </c>
      <c r="Q2" s="3" t="s">
        <v>26</v>
      </c>
      <c r="R2" s="3">
        <v>0</v>
      </c>
      <c r="S2" s="3" t="s">
        <v>91</v>
      </c>
      <c r="T2" s="3" t="s">
        <v>225</v>
      </c>
      <c r="U2" s="3">
        <v>0</v>
      </c>
      <c r="V2" s="3">
        <v>11</v>
      </c>
      <c r="W2" s="3">
        <v>56</v>
      </c>
    </row>
    <row r="3" spans="1:23" ht="11.25" customHeight="1" x14ac:dyDescent="0.25">
      <c r="A3" s="3" t="s">
        <v>21</v>
      </c>
      <c r="B3" s="3" t="s">
        <v>35</v>
      </c>
      <c r="C3" s="3" t="s">
        <v>36</v>
      </c>
      <c r="D3" s="3" t="s">
        <v>39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44470</v>
      </c>
      <c r="J3" s="4">
        <v>0</v>
      </c>
      <c r="K3" s="4">
        <v>0</v>
      </c>
      <c r="L3" s="4">
        <v>190.821</v>
      </c>
      <c r="M3" s="4">
        <v>190.821</v>
      </c>
      <c r="N3" s="4">
        <v>190.821</v>
      </c>
      <c r="O3" s="4">
        <v>190.821</v>
      </c>
      <c r="P3" s="4">
        <v>0</v>
      </c>
      <c r="Q3" s="3" t="s">
        <v>26</v>
      </c>
      <c r="R3" s="3">
        <v>0</v>
      </c>
      <c r="S3" s="3" t="s">
        <v>92</v>
      </c>
      <c r="T3" s="3" t="s">
        <v>226</v>
      </c>
      <c r="U3" s="3">
        <v>0</v>
      </c>
      <c r="V3" s="3">
        <v>11</v>
      </c>
      <c r="W3" s="3">
        <v>56</v>
      </c>
    </row>
    <row r="4" spans="1:23" ht="11.25" customHeight="1" x14ac:dyDescent="0.25">
      <c r="A4" s="3" t="s">
        <v>21</v>
      </c>
      <c r="B4" s="3" t="s">
        <v>35</v>
      </c>
      <c r="C4" s="3" t="s">
        <v>36</v>
      </c>
      <c r="D4" s="3" t="s">
        <v>39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44501</v>
      </c>
      <c r="J4" s="4">
        <v>0</v>
      </c>
      <c r="K4" s="4">
        <v>0</v>
      </c>
      <c r="L4" s="4">
        <v>263.74299999999999</v>
      </c>
      <c r="M4" s="4">
        <v>263.74299999999999</v>
      </c>
      <c r="N4" s="4">
        <v>263.74299999999999</v>
      </c>
      <c r="O4" s="4">
        <v>263.74299999999999</v>
      </c>
      <c r="P4" s="4">
        <v>0</v>
      </c>
      <c r="Q4" s="3" t="s">
        <v>26</v>
      </c>
      <c r="R4" s="3">
        <v>0</v>
      </c>
      <c r="S4" s="3" t="s">
        <v>93</v>
      </c>
      <c r="T4" s="3" t="s">
        <v>227</v>
      </c>
      <c r="U4" s="3">
        <v>0</v>
      </c>
      <c r="V4" s="3">
        <v>11</v>
      </c>
      <c r="W4" s="3">
        <v>56</v>
      </c>
    </row>
    <row r="5" spans="1:23" ht="11.25" customHeight="1" x14ac:dyDescent="0.25">
      <c r="A5" s="3" t="s">
        <v>21</v>
      </c>
      <c r="B5" s="3" t="s">
        <v>35</v>
      </c>
      <c r="C5" s="3" t="s">
        <v>36</v>
      </c>
      <c r="D5" s="3" t="s">
        <v>39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44531</v>
      </c>
      <c r="J5" s="4">
        <v>0</v>
      </c>
      <c r="K5" s="4">
        <v>0</v>
      </c>
      <c r="L5" s="4">
        <v>256.03899999999999</v>
      </c>
      <c r="M5" s="4">
        <v>256.03899999999999</v>
      </c>
      <c r="N5" s="4">
        <v>256.03899999999999</v>
      </c>
      <c r="O5" s="4">
        <v>256.03899999999999</v>
      </c>
      <c r="P5" s="4">
        <v>0</v>
      </c>
      <c r="Q5" s="3" t="s">
        <v>26</v>
      </c>
      <c r="R5" s="3">
        <v>0</v>
      </c>
      <c r="S5" s="3" t="s">
        <v>94</v>
      </c>
      <c r="T5" s="3" t="s">
        <v>228</v>
      </c>
      <c r="U5" s="3">
        <v>0</v>
      </c>
      <c r="V5" s="3">
        <v>11</v>
      </c>
      <c r="W5" s="3">
        <v>56</v>
      </c>
    </row>
    <row r="6" spans="1:23" ht="11.25" customHeight="1" x14ac:dyDescent="0.25">
      <c r="A6" s="3" t="s">
        <v>21</v>
      </c>
      <c r="B6" s="3" t="s">
        <v>35</v>
      </c>
      <c r="C6" s="3" t="s">
        <v>36</v>
      </c>
      <c r="D6" s="3" t="s">
        <v>39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44562</v>
      </c>
      <c r="J6" s="4">
        <v>0</v>
      </c>
      <c r="K6" s="4">
        <v>0</v>
      </c>
      <c r="L6" s="4">
        <v>370.37299999999999</v>
      </c>
      <c r="M6" s="4">
        <v>370.37299999999999</v>
      </c>
      <c r="N6" s="4">
        <v>370.37299999999999</v>
      </c>
      <c r="O6" s="4">
        <v>370.37299999999999</v>
      </c>
      <c r="P6" s="4">
        <v>0</v>
      </c>
      <c r="Q6" s="3" t="s">
        <v>26</v>
      </c>
      <c r="R6" s="3">
        <v>0</v>
      </c>
      <c r="S6" s="3" t="s">
        <v>95</v>
      </c>
      <c r="T6" s="3" t="s">
        <v>229</v>
      </c>
      <c r="U6" s="3">
        <v>0</v>
      </c>
      <c r="V6" s="3">
        <v>11</v>
      </c>
      <c r="W6" s="3">
        <v>56</v>
      </c>
    </row>
    <row r="7" spans="1:23" ht="11.25" customHeight="1" x14ac:dyDescent="0.25">
      <c r="A7" s="3" t="s">
        <v>21</v>
      </c>
      <c r="B7" s="3" t="s">
        <v>35</v>
      </c>
      <c r="C7" s="3" t="s">
        <v>36</v>
      </c>
      <c r="D7" s="3" t="s">
        <v>39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44593</v>
      </c>
      <c r="J7" s="4">
        <v>0</v>
      </c>
      <c r="K7" s="4">
        <v>0</v>
      </c>
      <c r="L7" s="4">
        <v>223.58099999999999</v>
      </c>
      <c r="M7" s="4">
        <v>223.58099999999999</v>
      </c>
      <c r="N7" s="4">
        <v>223.58099999999999</v>
      </c>
      <c r="O7" s="4">
        <v>223.58099999999999</v>
      </c>
      <c r="P7" s="4">
        <v>0</v>
      </c>
      <c r="Q7" s="3" t="s">
        <v>26</v>
      </c>
      <c r="R7" s="3">
        <v>0</v>
      </c>
      <c r="S7" s="3" t="s">
        <v>96</v>
      </c>
      <c r="T7" s="3" t="s">
        <v>230</v>
      </c>
      <c r="U7" s="3">
        <v>0</v>
      </c>
      <c r="V7" s="3">
        <v>11</v>
      </c>
      <c r="W7" s="3">
        <v>56</v>
      </c>
    </row>
    <row r="8" spans="1:23" ht="11.25" customHeight="1" x14ac:dyDescent="0.25">
      <c r="A8" s="3" t="s">
        <v>21</v>
      </c>
      <c r="B8" s="3" t="s">
        <v>35</v>
      </c>
      <c r="C8" s="3" t="s">
        <v>36</v>
      </c>
      <c r="D8" s="3" t="s">
        <v>39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44621</v>
      </c>
      <c r="J8" s="4">
        <v>0</v>
      </c>
      <c r="K8" s="4">
        <v>0</v>
      </c>
      <c r="L8" s="4">
        <v>280.32499999999999</v>
      </c>
      <c r="M8" s="4">
        <v>280.32499999999999</v>
      </c>
      <c r="N8" s="4">
        <v>280.32499999999999</v>
      </c>
      <c r="O8" s="4">
        <v>280.32499999999999</v>
      </c>
      <c r="P8" s="4">
        <v>0</v>
      </c>
      <c r="Q8" s="3" t="s">
        <v>26</v>
      </c>
      <c r="R8" s="3">
        <v>0</v>
      </c>
      <c r="S8" s="3" t="s">
        <v>97</v>
      </c>
      <c r="T8" s="3" t="s">
        <v>231</v>
      </c>
      <c r="U8" s="3">
        <v>0</v>
      </c>
      <c r="V8" s="3">
        <v>11</v>
      </c>
      <c r="W8" s="3">
        <v>56</v>
      </c>
    </row>
    <row r="9" spans="1:23" ht="11.25" customHeight="1" x14ac:dyDescent="0.25">
      <c r="A9" s="3" t="s">
        <v>21</v>
      </c>
      <c r="B9" s="3" t="s">
        <v>35</v>
      </c>
      <c r="C9" s="3" t="s">
        <v>36</v>
      </c>
      <c r="D9" s="3" t="s">
        <v>39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44652</v>
      </c>
      <c r="J9" s="4">
        <v>0</v>
      </c>
      <c r="K9" s="4">
        <v>0</v>
      </c>
      <c r="L9" s="4">
        <v>200.477</v>
      </c>
      <c r="M9" s="4">
        <v>200.477</v>
      </c>
      <c r="N9" s="4">
        <v>200.477</v>
      </c>
      <c r="O9" s="4">
        <v>200.477</v>
      </c>
      <c r="P9" s="4">
        <v>0</v>
      </c>
      <c r="Q9" s="3" t="s">
        <v>26</v>
      </c>
      <c r="R9" s="3">
        <v>0</v>
      </c>
      <c r="S9" s="3" t="s">
        <v>98</v>
      </c>
      <c r="T9" s="3" t="s">
        <v>232</v>
      </c>
      <c r="U9" s="3">
        <v>0</v>
      </c>
      <c r="V9" s="3">
        <v>11</v>
      </c>
      <c r="W9" s="3">
        <v>56</v>
      </c>
    </row>
    <row r="10" spans="1:23" ht="11.25" customHeight="1" x14ac:dyDescent="0.25">
      <c r="A10" s="3" t="s">
        <v>21</v>
      </c>
      <c r="B10" s="3" t="s">
        <v>35</v>
      </c>
      <c r="C10" s="3" t="s">
        <v>36</v>
      </c>
      <c r="D10" s="3" t="s">
        <v>39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0</v>
      </c>
      <c r="K10" s="4">
        <v>0</v>
      </c>
      <c r="L10" s="4">
        <v>191.83500000000001</v>
      </c>
      <c r="M10" s="4">
        <v>191.83500000000001</v>
      </c>
      <c r="N10" s="4">
        <v>191.83500000000001</v>
      </c>
      <c r="O10" s="4">
        <v>191.83500000000001</v>
      </c>
      <c r="P10" s="4">
        <v>0</v>
      </c>
      <c r="Q10" s="3" t="s">
        <v>26</v>
      </c>
      <c r="R10" s="3">
        <v>0</v>
      </c>
      <c r="S10" s="3" t="s">
        <v>99</v>
      </c>
      <c r="T10" s="3" t="s">
        <v>233</v>
      </c>
      <c r="U10" s="3">
        <v>0</v>
      </c>
      <c r="V10" s="3">
        <v>11</v>
      </c>
      <c r="W10" s="3">
        <v>56</v>
      </c>
    </row>
    <row r="11" spans="1:23" ht="11.25" customHeight="1" x14ac:dyDescent="0.25">
      <c r="A11" s="3" t="s">
        <v>21</v>
      </c>
      <c r="B11" s="3" t="s">
        <v>35</v>
      </c>
      <c r="C11" s="3" t="s">
        <v>36</v>
      </c>
      <c r="D11" s="3" t="s">
        <v>39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0</v>
      </c>
      <c r="K11" s="4">
        <v>0</v>
      </c>
      <c r="L11" s="4">
        <v>183.50299999999999</v>
      </c>
      <c r="M11" s="4">
        <v>183.50299999999999</v>
      </c>
      <c r="N11" s="4">
        <v>183.50299999999999</v>
      </c>
      <c r="O11" s="4">
        <v>183.50299999999999</v>
      </c>
      <c r="P11" s="4">
        <v>0</v>
      </c>
      <c r="Q11" s="3" t="s">
        <v>26</v>
      </c>
      <c r="R11" s="3">
        <v>0</v>
      </c>
      <c r="S11" s="3" t="s">
        <v>100</v>
      </c>
      <c r="T11" s="3" t="s">
        <v>234</v>
      </c>
      <c r="U11" s="3">
        <v>0</v>
      </c>
      <c r="V11" s="3">
        <v>11</v>
      </c>
      <c r="W11" s="3">
        <v>56</v>
      </c>
    </row>
    <row r="12" spans="1:23" ht="11.25" customHeight="1" x14ac:dyDescent="0.25">
      <c r="A12" s="3" t="s">
        <v>21</v>
      </c>
      <c r="B12" s="3" t="s">
        <v>35</v>
      </c>
      <c r="C12" s="3" t="s">
        <v>36</v>
      </c>
      <c r="D12" s="3" t="s">
        <v>39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0</v>
      </c>
      <c r="K12" s="4">
        <v>0</v>
      </c>
      <c r="L12" s="4">
        <v>212.19900000000001</v>
      </c>
      <c r="M12" s="4">
        <v>212.19900000000001</v>
      </c>
      <c r="N12" s="4">
        <v>212.19900000000001</v>
      </c>
      <c r="O12" s="4">
        <v>212.19900000000001</v>
      </c>
      <c r="P12" s="4">
        <v>0</v>
      </c>
      <c r="Q12" s="3" t="s">
        <v>26</v>
      </c>
      <c r="R12" s="3">
        <v>0</v>
      </c>
      <c r="S12" s="3" t="s">
        <v>101</v>
      </c>
      <c r="T12" s="3" t="s">
        <v>235</v>
      </c>
      <c r="U12" s="3">
        <v>0</v>
      </c>
      <c r="V12" s="3">
        <v>11</v>
      </c>
      <c r="W12" s="3">
        <v>56</v>
      </c>
    </row>
    <row r="13" spans="1:23" ht="11.25" customHeight="1" x14ac:dyDescent="0.25">
      <c r="A13" s="3" t="s">
        <v>21</v>
      </c>
      <c r="B13" s="3" t="s">
        <v>35</v>
      </c>
      <c r="C13" s="3" t="s">
        <v>36</v>
      </c>
      <c r="D13" s="3" t="s">
        <v>39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0</v>
      </c>
      <c r="K13" s="4">
        <v>0</v>
      </c>
      <c r="L13" s="4">
        <v>227.774</v>
      </c>
      <c r="M13" s="4">
        <v>227.774</v>
      </c>
      <c r="N13" s="4">
        <v>227.774</v>
      </c>
      <c r="O13" s="4">
        <v>227.774</v>
      </c>
      <c r="P13" s="4">
        <v>0</v>
      </c>
      <c r="Q13" s="3" t="s">
        <v>26</v>
      </c>
      <c r="R13" s="3">
        <v>0</v>
      </c>
      <c r="S13" s="3" t="s">
        <v>102</v>
      </c>
      <c r="T13" s="3" t="s">
        <v>236</v>
      </c>
      <c r="U13" s="3">
        <v>0</v>
      </c>
      <c r="V13" s="3">
        <v>11</v>
      </c>
      <c r="W13" s="3">
        <v>56</v>
      </c>
    </row>
    <row r="14" spans="1:23" ht="11.25" customHeight="1" x14ac:dyDescent="0.25">
      <c r="A14" s="3" t="s">
        <v>21</v>
      </c>
      <c r="B14" s="3" t="s">
        <v>35</v>
      </c>
      <c r="C14" s="3" t="s">
        <v>36</v>
      </c>
      <c r="D14" s="3" t="s">
        <v>39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44440</v>
      </c>
      <c r="J14" s="4">
        <v>718</v>
      </c>
      <c r="K14" s="4">
        <v>718</v>
      </c>
      <c r="L14" s="4">
        <v>0</v>
      </c>
      <c r="M14" s="4">
        <v>0</v>
      </c>
      <c r="N14" s="4">
        <v>0</v>
      </c>
      <c r="O14" s="4">
        <v>0</v>
      </c>
      <c r="P14" s="4">
        <v>8</v>
      </c>
      <c r="Q14" s="3" t="s">
        <v>26</v>
      </c>
      <c r="R14" s="3">
        <v>0</v>
      </c>
      <c r="S14" s="3" t="s">
        <v>103</v>
      </c>
      <c r="U14" s="3">
        <v>7</v>
      </c>
      <c r="V14" s="3">
        <v>0</v>
      </c>
      <c r="W14" s="3">
        <v>0</v>
      </c>
    </row>
    <row r="15" spans="1:23" ht="11.25" customHeight="1" x14ac:dyDescent="0.25">
      <c r="A15" s="3" t="s">
        <v>21</v>
      </c>
      <c r="B15" s="3" t="s">
        <v>35</v>
      </c>
      <c r="C15" s="3" t="s">
        <v>36</v>
      </c>
      <c r="D15" s="3" t="s">
        <v>39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44470</v>
      </c>
      <c r="J15" s="4">
        <v>711</v>
      </c>
      <c r="K15" s="4">
        <v>711</v>
      </c>
      <c r="L15" s="4">
        <v>0</v>
      </c>
      <c r="M15" s="4">
        <v>0</v>
      </c>
      <c r="N15" s="4">
        <v>0</v>
      </c>
      <c r="O15" s="4">
        <v>0</v>
      </c>
      <c r="P15" s="4">
        <v>8</v>
      </c>
      <c r="Q15" s="3" t="s">
        <v>26</v>
      </c>
      <c r="R15" s="3">
        <v>0</v>
      </c>
      <c r="S15" s="3" t="s">
        <v>104</v>
      </c>
      <c r="U15" s="3">
        <v>7</v>
      </c>
      <c r="V15" s="3">
        <v>0</v>
      </c>
      <c r="W15" s="3">
        <v>0</v>
      </c>
    </row>
    <row r="16" spans="1:23" ht="11.25" customHeight="1" x14ac:dyDescent="0.25">
      <c r="A16" s="3" t="s">
        <v>21</v>
      </c>
      <c r="B16" s="3" t="s">
        <v>35</v>
      </c>
      <c r="C16" s="3" t="s">
        <v>36</v>
      </c>
      <c r="D16" s="3" t="s">
        <v>39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44501</v>
      </c>
      <c r="J16" s="4">
        <v>980</v>
      </c>
      <c r="K16" s="4">
        <v>980</v>
      </c>
      <c r="L16" s="4">
        <v>0</v>
      </c>
      <c r="M16" s="4">
        <v>0</v>
      </c>
      <c r="N16" s="4">
        <v>0</v>
      </c>
      <c r="O16" s="4">
        <v>0</v>
      </c>
      <c r="P16" s="4">
        <v>8</v>
      </c>
      <c r="Q16" s="3" t="s">
        <v>26</v>
      </c>
      <c r="R16" s="3">
        <v>0</v>
      </c>
      <c r="S16" s="3" t="s">
        <v>105</v>
      </c>
      <c r="U16" s="3">
        <v>7</v>
      </c>
      <c r="V16" s="3">
        <v>0</v>
      </c>
      <c r="W16" s="3">
        <v>0</v>
      </c>
    </row>
    <row r="17" spans="1:23" ht="11.25" customHeight="1" x14ac:dyDescent="0.25">
      <c r="A17" s="3" t="s">
        <v>21</v>
      </c>
      <c r="B17" s="3" t="s">
        <v>35</v>
      </c>
      <c r="C17" s="3" t="s">
        <v>36</v>
      </c>
      <c r="D17" s="3" t="s">
        <v>39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44531</v>
      </c>
      <c r="J17" s="4">
        <v>997</v>
      </c>
      <c r="K17" s="4">
        <v>997</v>
      </c>
      <c r="L17" s="4">
        <v>0</v>
      </c>
      <c r="M17" s="4">
        <v>0</v>
      </c>
      <c r="N17" s="4">
        <v>0</v>
      </c>
      <c r="O17" s="4">
        <v>0</v>
      </c>
      <c r="P17" s="4">
        <v>8</v>
      </c>
      <c r="Q17" s="3" t="s">
        <v>26</v>
      </c>
      <c r="R17" s="3">
        <v>0</v>
      </c>
      <c r="S17" s="3" t="s">
        <v>106</v>
      </c>
      <c r="U17" s="3">
        <v>7</v>
      </c>
      <c r="V17" s="3">
        <v>0</v>
      </c>
      <c r="W17" s="3">
        <v>0</v>
      </c>
    </row>
    <row r="18" spans="1:23" ht="11.25" customHeight="1" x14ac:dyDescent="0.25">
      <c r="A18" s="3" t="s">
        <v>21</v>
      </c>
      <c r="B18" s="3" t="s">
        <v>35</v>
      </c>
      <c r="C18" s="3" t="s">
        <v>36</v>
      </c>
      <c r="D18" s="3" t="s">
        <v>39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44562</v>
      </c>
      <c r="J18" s="4">
        <v>1071</v>
      </c>
      <c r="K18" s="4">
        <v>1071</v>
      </c>
      <c r="L18" s="4">
        <v>0</v>
      </c>
      <c r="M18" s="4">
        <v>0</v>
      </c>
      <c r="N18" s="4">
        <v>0</v>
      </c>
      <c r="O18" s="4">
        <v>0</v>
      </c>
      <c r="P18" s="4">
        <v>8</v>
      </c>
      <c r="Q18" s="3" t="s">
        <v>26</v>
      </c>
      <c r="R18" s="3">
        <v>0</v>
      </c>
      <c r="S18" s="3" t="s">
        <v>107</v>
      </c>
      <c r="U18" s="3">
        <v>7</v>
      </c>
      <c r="V18" s="3">
        <v>0</v>
      </c>
      <c r="W18" s="3">
        <v>0</v>
      </c>
    </row>
    <row r="19" spans="1:23" ht="11.25" customHeight="1" x14ac:dyDescent="0.25">
      <c r="A19" s="3" t="s">
        <v>21</v>
      </c>
      <c r="B19" s="3" t="s">
        <v>35</v>
      </c>
      <c r="C19" s="3" t="s">
        <v>36</v>
      </c>
      <c r="D19" s="3" t="s">
        <v>39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44593</v>
      </c>
      <c r="J19" s="4">
        <v>1029</v>
      </c>
      <c r="K19" s="4">
        <v>1029</v>
      </c>
      <c r="L19" s="4">
        <v>0</v>
      </c>
      <c r="M19" s="4">
        <v>0</v>
      </c>
      <c r="N19" s="4">
        <v>0</v>
      </c>
      <c r="O19" s="4">
        <v>0</v>
      </c>
      <c r="P19" s="4">
        <v>8</v>
      </c>
      <c r="Q19" s="3" t="s">
        <v>26</v>
      </c>
      <c r="R19" s="3">
        <v>0</v>
      </c>
      <c r="S19" s="3" t="s">
        <v>108</v>
      </c>
      <c r="U19" s="3">
        <v>7</v>
      </c>
      <c r="V19" s="3">
        <v>0</v>
      </c>
      <c r="W19" s="3">
        <v>0</v>
      </c>
    </row>
    <row r="20" spans="1:23" ht="11.25" customHeight="1" x14ac:dyDescent="0.25">
      <c r="A20" s="3" t="s">
        <v>21</v>
      </c>
      <c r="B20" s="3" t="s">
        <v>35</v>
      </c>
      <c r="C20" s="3" t="s">
        <v>36</v>
      </c>
      <c r="D20" s="3" t="s">
        <v>39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44621</v>
      </c>
      <c r="J20" s="4">
        <v>1022</v>
      </c>
      <c r="K20" s="4">
        <v>1022</v>
      </c>
      <c r="L20" s="4">
        <v>0</v>
      </c>
      <c r="M20" s="4">
        <v>0</v>
      </c>
      <c r="N20" s="4">
        <v>0</v>
      </c>
      <c r="O20" s="4">
        <v>0</v>
      </c>
      <c r="P20" s="4">
        <v>8</v>
      </c>
      <c r="Q20" s="3" t="s">
        <v>26</v>
      </c>
      <c r="R20" s="3">
        <v>0</v>
      </c>
      <c r="S20" s="3" t="s">
        <v>109</v>
      </c>
      <c r="U20" s="3">
        <v>7</v>
      </c>
      <c r="V20" s="3">
        <v>0</v>
      </c>
      <c r="W20" s="3">
        <v>0</v>
      </c>
    </row>
    <row r="21" spans="1:23" ht="11.25" customHeight="1" x14ac:dyDescent="0.25">
      <c r="A21" s="3" t="s">
        <v>21</v>
      </c>
      <c r="B21" s="3" t="s">
        <v>35</v>
      </c>
      <c r="C21" s="3" t="s">
        <v>36</v>
      </c>
      <c r="D21" s="3" t="s">
        <v>39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44652</v>
      </c>
      <c r="J21" s="4">
        <v>784</v>
      </c>
      <c r="K21" s="4">
        <v>784</v>
      </c>
      <c r="L21" s="4">
        <v>0</v>
      </c>
      <c r="M21" s="4">
        <v>0</v>
      </c>
      <c r="N21" s="4">
        <v>0</v>
      </c>
      <c r="O21" s="4">
        <v>0</v>
      </c>
      <c r="P21" s="4">
        <v>8</v>
      </c>
      <c r="Q21" s="3" t="s">
        <v>26</v>
      </c>
      <c r="R21" s="3">
        <v>0</v>
      </c>
      <c r="S21" s="3" t="s">
        <v>110</v>
      </c>
      <c r="U21" s="3">
        <v>7</v>
      </c>
      <c r="V21" s="3">
        <v>0</v>
      </c>
      <c r="W21" s="3">
        <v>0</v>
      </c>
    </row>
    <row r="22" spans="1:23" ht="11.25" customHeight="1" x14ac:dyDescent="0.25">
      <c r="A22" s="3" t="s">
        <v>21</v>
      </c>
      <c r="B22" s="3" t="s">
        <v>35</v>
      </c>
      <c r="C22" s="3" t="s">
        <v>36</v>
      </c>
      <c r="D22" s="3" t="s">
        <v>39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44682</v>
      </c>
      <c r="J22" s="4">
        <v>779</v>
      </c>
      <c r="K22" s="4">
        <v>779</v>
      </c>
      <c r="L22" s="4">
        <v>0</v>
      </c>
      <c r="M22" s="4">
        <v>0</v>
      </c>
      <c r="N22" s="4">
        <v>0</v>
      </c>
      <c r="O22" s="4">
        <v>0</v>
      </c>
      <c r="P22" s="4">
        <v>8</v>
      </c>
      <c r="Q22" s="3" t="s">
        <v>26</v>
      </c>
      <c r="R22" s="3">
        <v>0</v>
      </c>
      <c r="S22" s="3" t="s">
        <v>111</v>
      </c>
      <c r="U22" s="3">
        <v>7</v>
      </c>
      <c r="V22" s="3">
        <v>0</v>
      </c>
      <c r="W22" s="3">
        <v>0</v>
      </c>
    </row>
    <row r="23" spans="1:23" ht="11.25" customHeight="1" x14ac:dyDescent="0.25">
      <c r="A23" s="3" t="s">
        <v>21</v>
      </c>
      <c r="B23" s="3" t="s">
        <v>35</v>
      </c>
      <c r="C23" s="3" t="s">
        <v>36</v>
      </c>
      <c r="D23" s="3" t="s">
        <v>39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44713</v>
      </c>
      <c r="J23" s="4">
        <v>793</v>
      </c>
      <c r="K23" s="4">
        <v>793</v>
      </c>
      <c r="L23" s="4">
        <v>0</v>
      </c>
      <c r="M23" s="4">
        <v>0</v>
      </c>
      <c r="N23" s="4">
        <v>0</v>
      </c>
      <c r="O23" s="4">
        <v>0</v>
      </c>
      <c r="P23" s="4">
        <v>8</v>
      </c>
      <c r="Q23" s="3" t="s">
        <v>26</v>
      </c>
      <c r="R23" s="3">
        <v>0</v>
      </c>
      <c r="S23" s="3" t="s">
        <v>112</v>
      </c>
      <c r="U23" s="3">
        <v>7</v>
      </c>
      <c r="V23" s="3">
        <v>0</v>
      </c>
      <c r="W23" s="3">
        <v>0</v>
      </c>
    </row>
    <row r="24" spans="1:23" ht="11.25" customHeight="1" x14ac:dyDescent="0.25">
      <c r="A24" s="3" t="s">
        <v>21</v>
      </c>
      <c r="B24" s="3" t="s">
        <v>35</v>
      </c>
      <c r="C24" s="3" t="s">
        <v>36</v>
      </c>
      <c r="D24" s="3" t="s">
        <v>39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44743</v>
      </c>
      <c r="J24" s="4">
        <v>784</v>
      </c>
      <c r="K24" s="4">
        <v>784</v>
      </c>
      <c r="L24" s="4">
        <v>0</v>
      </c>
      <c r="M24" s="4">
        <v>0</v>
      </c>
      <c r="N24" s="4">
        <v>0</v>
      </c>
      <c r="O24" s="4">
        <v>0</v>
      </c>
      <c r="P24" s="4">
        <v>8</v>
      </c>
      <c r="Q24" s="3" t="s">
        <v>26</v>
      </c>
      <c r="R24" s="3">
        <v>0</v>
      </c>
      <c r="S24" s="3" t="s">
        <v>113</v>
      </c>
      <c r="U24" s="3">
        <v>7</v>
      </c>
      <c r="V24" s="3">
        <v>0</v>
      </c>
      <c r="W24" s="3">
        <v>0</v>
      </c>
    </row>
    <row r="25" spans="1:23" ht="11.25" customHeight="1" x14ac:dyDescent="0.25">
      <c r="A25" s="3" t="s">
        <v>21</v>
      </c>
      <c r="B25" s="3" t="s">
        <v>35</v>
      </c>
      <c r="C25" s="3" t="s">
        <v>36</v>
      </c>
      <c r="D25" s="3" t="s">
        <v>39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44774</v>
      </c>
      <c r="J25" s="4">
        <v>791</v>
      </c>
      <c r="K25" s="4">
        <v>791</v>
      </c>
      <c r="L25" s="4">
        <v>0</v>
      </c>
      <c r="M25" s="4">
        <v>0</v>
      </c>
      <c r="N25" s="4">
        <v>0</v>
      </c>
      <c r="O25" s="4">
        <v>0</v>
      </c>
      <c r="P25" s="4">
        <v>8</v>
      </c>
      <c r="Q25" s="3" t="s">
        <v>26</v>
      </c>
      <c r="R25" s="3">
        <v>0</v>
      </c>
      <c r="S25" s="3" t="s">
        <v>114</v>
      </c>
      <c r="U25" s="3">
        <v>7</v>
      </c>
      <c r="V25" s="3">
        <v>0</v>
      </c>
      <c r="W25" s="3">
        <v>0</v>
      </c>
    </row>
    <row r="26" spans="1:23" ht="11.25" customHeight="1" x14ac:dyDescent="0.25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0</v>
      </c>
      <c r="K26" s="4">
        <v>0</v>
      </c>
      <c r="L26" s="4">
        <v>3.782</v>
      </c>
      <c r="M26" s="4">
        <v>3.782</v>
      </c>
      <c r="N26" s="4">
        <v>3.782</v>
      </c>
      <c r="O26" s="4">
        <v>3.782</v>
      </c>
      <c r="P26" s="4">
        <v>0</v>
      </c>
      <c r="Q26" s="3" t="s">
        <v>26</v>
      </c>
      <c r="R26" s="3">
        <v>0</v>
      </c>
      <c r="S26" s="3" t="s">
        <v>115</v>
      </c>
      <c r="T26" s="3" t="s">
        <v>241</v>
      </c>
      <c r="U26" s="3">
        <v>0</v>
      </c>
      <c r="V26" s="3">
        <v>13</v>
      </c>
      <c r="W26" s="3">
        <v>42</v>
      </c>
    </row>
    <row r="27" spans="1:23" ht="11.25" customHeight="1" x14ac:dyDescent="0.25">
      <c r="A27" s="3" t="s">
        <v>21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44470</v>
      </c>
      <c r="J27" s="4">
        <v>0</v>
      </c>
      <c r="K27" s="4">
        <v>0</v>
      </c>
      <c r="L27" s="4">
        <v>3.4670000000000001</v>
      </c>
      <c r="M27" s="4">
        <v>3.4670000000000001</v>
      </c>
      <c r="N27" s="4">
        <v>3.4670000000000001</v>
      </c>
      <c r="O27" s="4">
        <v>3.4670000000000001</v>
      </c>
      <c r="P27" s="4">
        <v>0</v>
      </c>
      <c r="Q27" s="3" t="s">
        <v>26</v>
      </c>
      <c r="R27" s="3">
        <v>0</v>
      </c>
      <c r="S27" s="3" t="s">
        <v>116</v>
      </c>
      <c r="T27" s="3" t="s">
        <v>242</v>
      </c>
      <c r="U27" s="3">
        <v>0</v>
      </c>
      <c r="V27" s="3">
        <v>13</v>
      </c>
      <c r="W27" s="3">
        <v>42</v>
      </c>
    </row>
    <row r="28" spans="1:23" ht="11.25" customHeight="1" x14ac:dyDescent="0.25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44501</v>
      </c>
      <c r="J28" s="4">
        <v>0</v>
      </c>
      <c r="K28" s="4">
        <v>0</v>
      </c>
      <c r="L28" s="4">
        <v>3.1949999999999998</v>
      </c>
      <c r="M28" s="4">
        <v>3.1949999999999998</v>
      </c>
      <c r="N28" s="4">
        <v>3.1949999999999998</v>
      </c>
      <c r="O28" s="4">
        <v>3.1949999999999998</v>
      </c>
      <c r="P28" s="4">
        <v>0</v>
      </c>
      <c r="Q28" s="3" t="s">
        <v>26</v>
      </c>
      <c r="R28" s="3">
        <v>0</v>
      </c>
      <c r="S28" s="3" t="s">
        <v>117</v>
      </c>
      <c r="T28" s="3" t="s">
        <v>243</v>
      </c>
      <c r="U28" s="3">
        <v>0</v>
      </c>
      <c r="V28" s="3">
        <v>13</v>
      </c>
      <c r="W28" s="3">
        <v>42</v>
      </c>
    </row>
    <row r="29" spans="1:23" ht="11.25" customHeight="1" x14ac:dyDescent="0.25">
      <c r="A29" s="3" t="s">
        <v>21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44531</v>
      </c>
      <c r="J29" s="4">
        <v>0</v>
      </c>
      <c r="K29" s="4">
        <v>0</v>
      </c>
      <c r="L29" s="4">
        <v>5.4130000000000003</v>
      </c>
      <c r="M29" s="4">
        <v>5.4130000000000003</v>
      </c>
      <c r="N29" s="4">
        <v>5.4130000000000003</v>
      </c>
      <c r="O29" s="4">
        <v>5.4130000000000003</v>
      </c>
      <c r="P29" s="4">
        <v>0</v>
      </c>
      <c r="Q29" s="3" t="s">
        <v>26</v>
      </c>
      <c r="R29" s="3">
        <v>0</v>
      </c>
      <c r="S29" s="3" t="s">
        <v>118</v>
      </c>
      <c r="T29" s="3" t="s">
        <v>244</v>
      </c>
      <c r="U29" s="3">
        <v>0</v>
      </c>
      <c r="V29" s="3">
        <v>13</v>
      </c>
      <c r="W29" s="3">
        <v>42</v>
      </c>
    </row>
    <row r="30" spans="1:23" ht="11.25" customHeight="1" x14ac:dyDescent="0.25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44562</v>
      </c>
      <c r="J30" s="4">
        <v>0</v>
      </c>
      <c r="K30" s="4">
        <v>0</v>
      </c>
      <c r="L30" s="4">
        <v>6.468</v>
      </c>
      <c r="M30" s="4">
        <v>6.468</v>
      </c>
      <c r="N30" s="4">
        <v>6.468</v>
      </c>
      <c r="O30" s="4">
        <v>6.468</v>
      </c>
      <c r="P30" s="4">
        <v>0</v>
      </c>
      <c r="Q30" s="3" t="s">
        <v>26</v>
      </c>
      <c r="R30" s="3">
        <v>0</v>
      </c>
      <c r="S30" s="3" t="s">
        <v>119</v>
      </c>
      <c r="T30" s="3" t="s">
        <v>245</v>
      </c>
      <c r="U30" s="3">
        <v>0</v>
      </c>
      <c r="V30" s="3">
        <v>13</v>
      </c>
      <c r="W30" s="3">
        <v>42</v>
      </c>
    </row>
    <row r="31" spans="1:23" ht="11.25" customHeight="1" x14ac:dyDescent="0.25">
      <c r="A31" s="3" t="s">
        <v>21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44593</v>
      </c>
      <c r="J31" s="4">
        <v>0</v>
      </c>
      <c r="K31" s="4">
        <v>0</v>
      </c>
      <c r="L31" s="4">
        <v>4.6429999999999998</v>
      </c>
      <c r="M31" s="4">
        <v>4.6429999999999998</v>
      </c>
      <c r="N31" s="4">
        <v>4.6429999999999998</v>
      </c>
      <c r="O31" s="4">
        <v>4.6429999999999998</v>
      </c>
      <c r="P31" s="4">
        <v>0</v>
      </c>
      <c r="Q31" s="3" t="s">
        <v>26</v>
      </c>
      <c r="R31" s="3">
        <v>0</v>
      </c>
      <c r="S31" s="3" t="s">
        <v>120</v>
      </c>
      <c r="T31" s="3" t="s">
        <v>246</v>
      </c>
      <c r="U31" s="3">
        <v>0</v>
      </c>
      <c r="V31" s="3">
        <v>13</v>
      </c>
      <c r="W31" s="3">
        <v>42</v>
      </c>
    </row>
    <row r="32" spans="1:23" ht="11.25" customHeight="1" x14ac:dyDescent="0.25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44621</v>
      </c>
      <c r="J32" s="4">
        <v>0</v>
      </c>
      <c r="K32" s="4">
        <v>0</v>
      </c>
      <c r="L32" s="4">
        <v>4.7569999999999997</v>
      </c>
      <c r="M32" s="4">
        <v>4.7569999999999997</v>
      </c>
      <c r="N32" s="4">
        <v>4.7569999999999997</v>
      </c>
      <c r="O32" s="4">
        <v>4.7569999999999997</v>
      </c>
      <c r="P32" s="4">
        <v>0</v>
      </c>
      <c r="Q32" s="3" t="s">
        <v>26</v>
      </c>
      <c r="R32" s="3">
        <v>0</v>
      </c>
      <c r="S32" s="3" t="s">
        <v>121</v>
      </c>
      <c r="T32" s="3" t="s">
        <v>247</v>
      </c>
      <c r="U32" s="3">
        <v>0</v>
      </c>
      <c r="V32" s="3">
        <v>13</v>
      </c>
      <c r="W32" s="3">
        <v>42</v>
      </c>
    </row>
    <row r="33" spans="1:23" ht="11.25" customHeight="1" x14ac:dyDescent="0.25">
      <c r="A33" s="3" t="s">
        <v>21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44652</v>
      </c>
      <c r="J33" s="4">
        <v>0</v>
      </c>
      <c r="K33" s="4">
        <v>0</v>
      </c>
      <c r="L33" s="4">
        <v>3.9569999999999999</v>
      </c>
      <c r="M33" s="4">
        <v>3.9569999999999999</v>
      </c>
      <c r="N33" s="4">
        <v>3.9569999999999999</v>
      </c>
      <c r="O33" s="4">
        <v>3.9569999999999999</v>
      </c>
      <c r="P33" s="4">
        <v>0</v>
      </c>
      <c r="Q33" s="3" t="s">
        <v>26</v>
      </c>
      <c r="R33" s="3">
        <v>0</v>
      </c>
      <c r="S33" s="3" t="s">
        <v>122</v>
      </c>
      <c r="T33" s="3" t="s">
        <v>248</v>
      </c>
      <c r="U33" s="3">
        <v>0</v>
      </c>
      <c r="V33" s="3">
        <v>13</v>
      </c>
      <c r="W33" s="3">
        <v>42</v>
      </c>
    </row>
    <row r="34" spans="1:23" ht="11.25" customHeight="1" x14ac:dyDescent="0.25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37</v>
      </c>
      <c r="I34" s="6">
        <v>44682</v>
      </c>
      <c r="J34" s="4">
        <v>0</v>
      </c>
      <c r="K34" s="4">
        <v>0</v>
      </c>
      <c r="L34" s="4">
        <v>4.2359999999999998</v>
      </c>
      <c r="M34" s="4">
        <v>4.2359999999999998</v>
      </c>
      <c r="N34" s="4">
        <v>4.2359999999999998</v>
      </c>
      <c r="O34" s="4">
        <v>4.2359999999999998</v>
      </c>
      <c r="P34" s="4">
        <v>0</v>
      </c>
      <c r="Q34" s="3" t="s">
        <v>26</v>
      </c>
      <c r="R34" s="3">
        <v>0</v>
      </c>
      <c r="S34" s="3" t="s">
        <v>123</v>
      </c>
      <c r="T34" s="3" t="s">
        <v>249</v>
      </c>
      <c r="U34" s="3">
        <v>0</v>
      </c>
      <c r="V34" s="3">
        <v>13</v>
      </c>
      <c r="W34" s="3">
        <v>42</v>
      </c>
    </row>
    <row r="35" spans="1:23" ht="11.25" customHeight="1" x14ac:dyDescent="0.25">
      <c r="A35" s="3" t="s">
        <v>21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37</v>
      </c>
      <c r="I35" s="6">
        <v>44713</v>
      </c>
      <c r="J35" s="4">
        <v>0</v>
      </c>
      <c r="K35" s="4">
        <v>0</v>
      </c>
      <c r="L35" s="4">
        <v>5.4130000000000003</v>
      </c>
      <c r="M35" s="4">
        <v>5.4130000000000003</v>
      </c>
      <c r="N35" s="4">
        <v>5.4130000000000003</v>
      </c>
      <c r="O35" s="4">
        <v>5.4130000000000003</v>
      </c>
      <c r="P35" s="4">
        <v>0</v>
      </c>
      <c r="Q35" s="3" t="s">
        <v>26</v>
      </c>
      <c r="R35" s="3">
        <v>0</v>
      </c>
      <c r="S35" s="3" t="s">
        <v>124</v>
      </c>
      <c r="T35" s="3" t="s">
        <v>250</v>
      </c>
      <c r="U35" s="3">
        <v>0</v>
      </c>
      <c r="V35" s="3">
        <v>13</v>
      </c>
      <c r="W35" s="3">
        <v>42</v>
      </c>
    </row>
    <row r="36" spans="1:23" ht="11.25" customHeight="1" x14ac:dyDescent="0.25">
      <c r="A36" s="3" t="s">
        <v>21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37</v>
      </c>
      <c r="I36" s="6">
        <v>44743</v>
      </c>
      <c r="J36" s="4">
        <v>0</v>
      </c>
      <c r="K36" s="4">
        <v>0</v>
      </c>
      <c r="L36" s="4">
        <v>9.2430000000000003</v>
      </c>
      <c r="M36" s="4">
        <v>9.2430000000000003</v>
      </c>
      <c r="N36" s="4">
        <v>9.2430000000000003</v>
      </c>
      <c r="O36" s="4">
        <v>9.2430000000000003</v>
      </c>
      <c r="P36" s="4">
        <v>0</v>
      </c>
      <c r="Q36" s="3" t="s">
        <v>26</v>
      </c>
      <c r="R36" s="3">
        <v>0</v>
      </c>
      <c r="S36" s="3" t="s">
        <v>125</v>
      </c>
      <c r="T36" s="3" t="s">
        <v>251</v>
      </c>
      <c r="U36" s="3">
        <v>0</v>
      </c>
      <c r="V36" s="3">
        <v>13</v>
      </c>
      <c r="W36" s="3">
        <v>42</v>
      </c>
    </row>
    <row r="37" spans="1:23" ht="11.25" customHeight="1" x14ac:dyDescent="0.25">
      <c r="A37" s="3" t="s">
        <v>21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37</v>
      </c>
      <c r="I37" s="6">
        <v>44774</v>
      </c>
      <c r="J37" s="4">
        <v>0</v>
      </c>
      <c r="K37" s="4">
        <v>0</v>
      </c>
      <c r="L37" s="4">
        <v>7.31</v>
      </c>
      <c r="M37" s="4">
        <v>7.31</v>
      </c>
      <c r="N37" s="4">
        <v>7.31</v>
      </c>
      <c r="O37" s="4">
        <v>7.31</v>
      </c>
      <c r="P37" s="4">
        <v>0</v>
      </c>
      <c r="Q37" s="3" t="s">
        <v>26</v>
      </c>
      <c r="R37" s="3">
        <v>0</v>
      </c>
      <c r="S37" s="3" t="s">
        <v>126</v>
      </c>
      <c r="T37" s="3" t="s">
        <v>252</v>
      </c>
      <c r="U37" s="3">
        <v>0</v>
      </c>
      <c r="V37" s="3">
        <v>13</v>
      </c>
      <c r="W37" s="3">
        <v>42</v>
      </c>
    </row>
    <row r="38" spans="1:23" ht="11.25" customHeight="1" x14ac:dyDescent="0.25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44440</v>
      </c>
      <c r="J38" s="4">
        <v>0</v>
      </c>
      <c r="K38" s="4">
        <v>0</v>
      </c>
      <c r="L38" s="4">
        <v>417.584</v>
      </c>
      <c r="M38" s="4">
        <v>417.584</v>
      </c>
      <c r="N38" s="4">
        <v>417.584</v>
      </c>
      <c r="O38" s="4">
        <v>417.584</v>
      </c>
      <c r="P38" s="4">
        <v>0</v>
      </c>
      <c r="Q38" s="3" t="s">
        <v>26</v>
      </c>
      <c r="R38" s="3">
        <v>0</v>
      </c>
      <c r="S38" s="3" t="s">
        <v>91</v>
      </c>
      <c r="T38" s="3" t="s">
        <v>225</v>
      </c>
      <c r="U38" s="3">
        <v>0</v>
      </c>
      <c r="V38" s="3">
        <v>11</v>
      </c>
      <c r="W38" s="3">
        <v>56</v>
      </c>
    </row>
    <row r="39" spans="1:23" ht="11.25" customHeight="1" x14ac:dyDescent="0.25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44470</v>
      </c>
      <c r="J39" s="4">
        <v>0</v>
      </c>
      <c r="K39" s="4">
        <v>0</v>
      </c>
      <c r="L39" s="4">
        <v>426.51400000000001</v>
      </c>
      <c r="M39" s="4">
        <v>426.51400000000001</v>
      </c>
      <c r="N39" s="4">
        <v>426.51400000000001</v>
      </c>
      <c r="O39" s="4">
        <v>426.51400000000001</v>
      </c>
      <c r="P39" s="4">
        <v>0</v>
      </c>
      <c r="Q39" s="3" t="s">
        <v>26</v>
      </c>
      <c r="R39" s="3">
        <v>0</v>
      </c>
      <c r="S39" s="3" t="s">
        <v>92</v>
      </c>
      <c r="T39" s="3" t="s">
        <v>226</v>
      </c>
      <c r="U39" s="3">
        <v>0</v>
      </c>
      <c r="V39" s="3">
        <v>11</v>
      </c>
      <c r="W39" s="3">
        <v>56</v>
      </c>
    </row>
    <row r="40" spans="1:23" ht="11.25" customHeight="1" x14ac:dyDescent="0.25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44501</v>
      </c>
      <c r="J40" s="4">
        <v>0</v>
      </c>
      <c r="K40" s="4">
        <v>0</v>
      </c>
      <c r="L40" s="4">
        <v>470.85</v>
      </c>
      <c r="M40" s="4">
        <v>470.85</v>
      </c>
      <c r="N40" s="4">
        <v>470.85</v>
      </c>
      <c r="O40" s="4">
        <v>470.85</v>
      </c>
      <c r="P40" s="4">
        <v>0</v>
      </c>
      <c r="Q40" s="3" t="s">
        <v>26</v>
      </c>
      <c r="R40" s="3">
        <v>0</v>
      </c>
      <c r="S40" s="3" t="s">
        <v>93</v>
      </c>
      <c r="T40" s="3" t="s">
        <v>227</v>
      </c>
      <c r="U40" s="3">
        <v>0</v>
      </c>
      <c r="V40" s="3">
        <v>11</v>
      </c>
      <c r="W40" s="3">
        <v>56</v>
      </c>
    </row>
    <row r="41" spans="1:23" ht="11.25" customHeight="1" x14ac:dyDescent="0.25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44531</v>
      </c>
      <c r="J41" s="4">
        <v>0</v>
      </c>
      <c r="K41" s="4">
        <v>0</v>
      </c>
      <c r="L41" s="4">
        <v>340.99400000000003</v>
      </c>
      <c r="M41" s="4">
        <v>340.99400000000003</v>
      </c>
      <c r="N41" s="4">
        <v>340.99400000000003</v>
      </c>
      <c r="O41" s="4">
        <v>340.99400000000003</v>
      </c>
      <c r="P41" s="4">
        <v>0</v>
      </c>
      <c r="Q41" s="3" t="s">
        <v>26</v>
      </c>
      <c r="R41" s="3">
        <v>0</v>
      </c>
      <c r="S41" s="3" t="s">
        <v>94</v>
      </c>
      <c r="T41" s="3" t="s">
        <v>228</v>
      </c>
      <c r="U41" s="3">
        <v>0</v>
      </c>
      <c r="V41" s="3">
        <v>11</v>
      </c>
      <c r="W41" s="3">
        <v>56</v>
      </c>
    </row>
    <row r="42" spans="1:23" ht="11.25" customHeight="1" x14ac:dyDescent="0.25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44562</v>
      </c>
      <c r="J42" s="4">
        <v>0</v>
      </c>
      <c r="K42" s="4">
        <v>0</v>
      </c>
      <c r="L42" s="4">
        <v>384.94299999999998</v>
      </c>
      <c r="M42" s="4">
        <v>384.94299999999998</v>
      </c>
      <c r="N42" s="4">
        <v>384.94299999999998</v>
      </c>
      <c r="O42" s="4">
        <v>384.94299999999998</v>
      </c>
      <c r="P42" s="4">
        <v>0</v>
      </c>
      <c r="Q42" s="3" t="s">
        <v>26</v>
      </c>
      <c r="R42" s="3">
        <v>0</v>
      </c>
      <c r="S42" s="3" t="s">
        <v>95</v>
      </c>
      <c r="T42" s="3" t="s">
        <v>229</v>
      </c>
      <c r="U42" s="3">
        <v>0</v>
      </c>
      <c r="V42" s="3">
        <v>11</v>
      </c>
      <c r="W42" s="3">
        <v>56</v>
      </c>
    </row>
    <row r="43" spans="1:23" ht="11.25" customHeight="1" x14ac:dyDescent="0.25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38</v>
      </c>
      <c r="I43" s="6">
        <v>44593</v>
      </c>
      <c r="J43" s="4">
        <v>0</v>
      </c>
      <c r="K43" s="4">
        <v>0</v>
      </c>
      <c r="L43" s="4">
        <v>372.32100000000003</v>
      </c>
      <c r="M43" s="4">
        <v>372.32100000000003</v>
      </c>
      <c r="N43" s="4">
        <v>372.32100000000003</v>
      </c>
      <c r="O43" s="4">
        <v>372.32100000000003</v>
      </c>
      <c r="P43" s="4">
        <v>0</v>
      </c>
      <c r="Q43" s="3" t="s">
        <v>26</v>
      </c>
      <c r="R43" s="3">
        <v>0</v>
      </c>
      <c r="S43" s="3" t="s">
        <v>96</v>
      </c>
      <c r="T43" s="3" t="s">
        <v>230</v>
      </c>
      <c r="U43" s="3">
        <v>0</v>
      </c>
      <c r="V43" s="3">
        <v>11</v>
      </c>
      <c r="W43" s="3">
        <v>56</v>
      </c>
    </row>
    <row r="44" spans="1:23" ht="11.25" customHeight="1" x14ac:dyDescent="0.25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38</v>
      </c>
      <c r="I44" s="6">
        <v>44621</v>
      </c>
      <c r="J44" s="4">
        <v>0</v>
      </c>
      <c r="K44" s="4">
        <v>0</v>
      </c>
      <c r="L44" s="4">
        <v>458.96</v>
      </c>
      <c r="M44" s="4">
        <v>458.96</v>
      </c>
      <c r="N44" s="4">
        <v>458.96</v>
      </c>
      <c r="O44" s="4">
        <v>458.96</v>
      </c>
      <c r="P44" s="4">
        <v>0</v>
      </c>
      <c r="Q44" s="3" t="s">
        <v>26</v>
      </c>
      <c r="R44" s="3">
        <v>0</v>
      </c>
      <c r="S44" s="3" t="s">
        <v>97</v>
      </c>
      <c r="T44" s="3" t="s">
        <v>231</v>
      </c>
      <c r="U44" s="3">
        <v>0</v>
      </c>
      <c r="V44" s="3">
        <v>11</v>
      </c>
      <c r="W44" s="3">
        <v>56</v>
      </c>
    </row>
    <row r="45" spans="1:23" ht="11.25" customHeight="1" x14ac:dyDescent="0.25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38</v>
      </c>
      <c r="I45" s="6">
        <v>44652</v>
      </c>
      <c r="J45" s="4">
        <v>0</v>
      </c>
      <c r="K45" s="4">
        <v>0</v>
      </c>
      <c r="L45" s="4">
        <v>356.53100000000001</v>
      </c>
      <c r="M45" s="4">
        <v>356.53100000000001</v>
      </c>
      <c r="N45" s="4">
        <v>356.53100000000001</v>
      </c>
      <c r="O45" s="4">
        <v>356.53100000000001</v>
      </c>
      <c r="P45" s="4">
        <v>0</v>
      </c>
      <c r="Q45" s="3" t="s">
        <v>26</v>
      </c>
      <c r="R45" s="3">
        <v>0</v>
      </c>
      <c r="S45" s="3" t="s">
        <v>98</v>
      </c>
      <c r="T45" s="3" t="s">
        <v>232</v>
      </c>
      <c r="U45" s="3">
        <v>0</v>
      </c>
      <c r="V45" s="3">
        <v>11</v>
      </c>
      <c r="W45" s="3">
        <v>56</v>
      </c>
    </row>
    <row r="46" spans="1:23" ht="11.25" customHeight="1" x14ac:dyDescent="0.25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38</v>
      </c>
      <c r="I46" s="6">
        <v>44682</v>
      </c>
      <c r="J46" s="4">
        <v>0</v>
      </c>
      <c r="K46" s="4">
        <v>0</v>
      </c>
      <c r="L46" s="4">
        <v>349.80900000000003</v>
      </c>
      <c r="M46" s="4">
        <v>349.80900000000003</v>
      </c>
      <c r="N46" s="4">
        <v>349.80900000000003</v>
      </c>
      <c r="O46" s="4">
        <v>349.80900000000003</v>
      </c>
      <c r="P46" s="4">
        <v>0</v>
      </c>
      <c r="Q46" s="3" t="s">
        <v>26</v>
      </c>
      <c r="R46" s="3">
        <v>0</v>
      </c>
      <c r="S46" s="3" t="s">
        <v>99</v>
      </c>
      <c r="T46" s="3" t="s">
        <v>233</v>
      </c>
      <c r="U46" s="3">
        <v>0</v>
      </c>
      <c r="V46" s="3">
        <v>11</v>
      </c>
      <c r="W46" s="3">
        <v>56</v>
      </c>
    </row>
    <row r="47" spans="1:23" ht="11.25" customHeight="1" x14ac:dyDescent="0.25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38</v>
      </c>
      <c r="I47" s="6">
        <v>44713</v>
      </c>
      <c r="J47" s="4">
        <v>0</v>
      </c>
      <c r="K47" s="4">
        <v>0</v>
      </c>
      <c r="L47" s="4">
        <v>323.94200000000001</v>
      </c>
      <c r="M47" s="4">
        <v>323.94200000000001</v>
      </c>
      <c r="N47" s="4">
        <v>323.94200000000001</v>
      </c>
      <c r="O47" s="4">
        <v>323.94200000000001</v>
      </c>
      <c r="P47" s="4">
        <v>0</v>
      </c>
      <c r="Q47" s="3" t="s">
        <v>26</v>
      </c>
      <c r="R47" s="3">
        <v>0</v>
      </c>
      <c r="S47" s="3" t="s">
        <v>100</v>
      </c>
      <c r="T47" s="3" t="s">
        <v>234</v>
      </c>
      <c r="U47" s="3">
        <v>0</v>
      </c>
      <c r="V47" s="3">
        <v>11</v>
      </c>
      <c r="W47" s="3">
        <v>56</v>
      </c>
    </row>
    <row r="48" spans="1:23" ht="11.25" customHeight="1" x14ac:dyDescent="0.25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38</v>
      </c>
      <c r="I48" s="6">
        <v>44743</v>
      </c>
      <c r="J48" s="4">
        <v>0</v>
      </c>
      <c r="K48" s="4">
        <v>0</v>
      </c>
      <c r="L48" s="4">
        <v>357.012</v>
      </c>
      <c r="M48" s="4">
        <v>357.012</v>
      </c>
      <c r="N48" s="4">
        <v>357.012</v>
      </c>
      <c r="O48" s="4">
        <v>357.012</v>
      </c>
      <c r="P48" s="4">
        <v>0</v>
      </c>
      <c r="Q48" s="3" t="s">
        <v>26</v>
      </c>
      <c r="R48" s="3">
        <v>0</v>
      </c>
      <c r="S48" s="3" t="s">
        <v>101</v>
      </c>
      <c r="T48" s="3" t="s">
        <v>235</v>
      </c>
      <c r="U48" s="3">
        <v>0</v>
      </c>
      <c r="V48" s="3">
        <v>11</v>
      </c>
      <c r="W48" s="3">
        <v>56</v>
      </c>
    </row>
    <row r="49" spans="1:23" ht="11.25" customHeight="1" x14ac:dyDescent="0.25">
      <c r="A49" s="3" t="s">
        <v>21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38</v>
      </c>
      <c r="I49" s="6">
        <v>44774</v>
      </c>
      <c r="J49" s="4">
        <v>0</v>
      </c>
      <c r="K49" s="4">
        <v>0</v>
      </c>
      <c r="L49" s="4">
        <v>407.07299999999998</v>
      </c>
      <c r="M49" s="4">
        <v>407.07299999999998</v>
      </c>
      <c r="N49" s="4">
        <v>407.07299999999998</v>
      </c>
      <c r="O49" s="4">
        <v>407.07299999999998</v>
      </c>
      <c r="P49" s="4">
        <v>0</v>
      </c>
      <c r="Q49" s="3" t="s">
        <v>26</v>
      </c>
      <c r="R49" s="3">
        <v>0</v>
      </c>
      <c r="S49" s="3" t="s">
        <v>102</v>
      </c>
      <c r="T49" s="3" t="s">
        <v>236</v>
      </c>
      <c r="U49" s="3">
        <v>0</v>
      </c>
      <c r="V49" s="3">
        <v>11</v>
      </c>
      <c r="W49" s="3">
        <v>56</v>
      </c>
    </row>
    <row r="50" spans="1:23" ht="11.25" customHeight="1" x14ac:dyDescent="0.25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25</v>
      </c>
      <c r="G50" s="3" t="s">
        <v>25</v>
      </c>
      <c r="H50" s="3" t="s">
        <v>25</v>
      </c>
      <c r="I50" s="6">
        <v>44440</v>
      </c>
      <c r="J50" s="4">
        <v>1901</v>
      </c>
      <c r="K50" s="4">
        <v>1901</v>
      </c>
      <c r="L50" s="4">
        <v>0</v>
      </c>
      <c r="M50" s="4">
        <v>0</v>
      </c>
      <c r="N50" s="4">
        <v>0</v>
      </c>
      <c r="O50" s="4">
        <v>0</v>
      </c>
      <c r="P50" s="4">
        <v>9</v>
      </c>
      <c r="Q50" s="3" t="s">
        <v>26</v>
      </c>
      <c r="R50" s="3">
        <v>0</v>
      </c>
      <c r="S50" s="3" t="s">
        <v>103</v>
      </c>
      <c r="U50" s="3">
        <v>7</v>
      </c>
      <c r="V50" s="3">
        <v>0</v>
      </c>
      <c r="W50" s="3">
        <v>0</v>
      </c>
    </row>
    <row r="51" spans="1:23" ht="11.25" customHeight="1" x14ac:dyDescent="0.25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25</v>
      </c>
      <c r="G51" s="3" t="s">
        <v>25</v>
      </c>
      <c r="H51" s="3" t="s">
        <v>25</v>
      </c>
      <c r="I51" s="6">
        <v>44470</v>
      </c>
      <c r="J51" s="4">
        <v>1905</v>
      </c>
      <c r="K51" s="4">
        <v>1905</v>
      </c>
      <c r="L51" s="4">
        <v>0</v>
      </c>
      <c r="M51" s="4">
        <v>0</v>
      </c>
      <c r="N51" s="4">
        <v>0</v>
      </c>
      <c r="O51" s="4">
        <v>0</v>
      </c>
      <c r="P51" s="4">
        <v>9</v>
      </c>
      <c r="Q51" s="3" t="s">
        <v>26</v>
      </c>
      <c r="R51" s="3">
        <v>0</v>
      </c>
      <c r="S51" s="3" t="s">
        <v>104</v>
      </c>
      <c r="U51" s="3">
        <v>7</v>
      </c>
      <c r="V51" s="3">
        <v>0</v>
      </c>
      <c r="W51" s="3">
        <v>0</v>
      </c>
    </row>
    <row r="52" spans="1:23" ht="11.25" customHeight="1" x14ac:dyDescent="0.25">
      <c r="A52" s="3" t="s">
        <v>21</v>
      </c>
      <c r="B52" s="3" t="s">
        <v>35</v>
      </c>
      <c r="C52" s="3" t="s">
        <v>36</v>
      </c>
      <c r="D52" s="3" t="s">
        <v>34</v>
      </c>
      <c r="E52" s="3" t="s">
        <v>25</v>
      </c>
      <c r="F52" s="3" t="s">
        <v>25</v>
      </c>
      <c r="G52" s="3" t="s">
        <v>25</v>
      </c>
      <c r="H52" s="3" t="s">
        <v>25</v>
      </c>
      <c r="I52" s="6">
        <v>44501</v>
      </c>
      <c r="J52" s="4">
        <v>1896</v>
      </c>
      <c r="K52" s="4">
        <v>1896</v>
      </c>
      <c r="L52" s="4">
        <v>0</v>
      </c>
      <c r="M52" s="4">
        <v>0</v>
      </c>
      <c r="N52" s="4">
        <v>0</v>
      </c>
      <c r="O52" s="4">
        <v>0</v>
      </c>
      <c r="P52" s="4">
        <v>9</v>
      </c>
      <c r="Q52" s="3" t="s">
        <v>26</v>
      </c>
      <c r="R52" s="3">
        <v>0</v>
      </c>
      <c r="S52" s="3" t="s">
        <v>105</v>
      </c>
      <c r="U52" s="3">
        <v>7</v>
      </c>
      <c r="V52" s="3">
        <v>0</v>
      </c>
      <c r="W52" s="3">
        <v>0</v>
      </c>
    </row>
    <row r="53" spans="1:23" ht="11.25" customHeight="1" x14ac:dyDescent="0.25">
      <c r="A53" s="3" t="s">
        <v>21</v>
      </c>
      <c r="B53" s="3" t="s">
        <v>35</v>
      </c>
      <c r="C53" s="3" t="s">
        <v>36</v>
      </c>
      <c r="D53" s="3" t="s">
        <v>34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44531</v>
      </c>
      <c r="J53" s="4">
        <v>1907</v>
      </c>
      <c r="K53" s="4">
        <v>1907</v>
      </c>
      <c r="L53" s="4">
        <v>0</v>
      </c>
      <c r="M53" s="4">
        <v>0</v>
      </c>
      <c r="N53" s="4">
        <v>0</v>
      </c>
      <c r="O53" s="4">
        <v>0</v>
      </c>
      <c r="P53" s="4">
        <v>9</v>
      </c>
      <c r="Q53" s="3" t="s">
        <v>26</v>
      </c>
      <c r="R53" s="3">
        <v>0</v>
      </c>
      <c r="S53" s="3" t="s">
        <v>106</v>
      </c>
      <c r="U53" s="3">
        <v>7</v>
      </c>
      <c r="V53" s="3">
        <v>0</v>
      </c>
      <c r="W53" s="3">
        <v>0</v>
      </c>
    </row>
    <row r="54" spans="1:23" ht="11.25" customHeight="1" x14ac:dyDescent="0.25">
      <c r="A54" s="3" t="s">
        <v>21</v>
      </c>
      <c r="B54" s="3" t="s">
        <v>35</v>
      </c>
      <c r="C54" s="3" t="s">
        <v>36</v>
      </c>
      <c r="D54" s="3" t="s">
        <v>34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44562</v>
      </c>
      <c r="J54" s="4">
        <v>1895</v>
      </c>
      <c r="K54" s="4">
        <v>1895</v>
      </c>
      <c r="L54" s="4">
        <v>0</v>
      </c>
      <c r="M54" s="4">
        <v>0</v>
      </c>
      <c r="N54" s="4">
        <v>0</v>
      </c>
      <c r="O54" s="4">
        <v>0</v>
      </c>
      <c r="P54" s="4">
        <v>9</v>
      </c>
      <c r="Q54" s="3" t="s">
        <v>26</v>
      </c>
      <c r="R54" s="3">
        <v>0</v>
      </c>
      <c r="S54" s="3" t="s">
        <v>107</v>
      </c>
      <c r="U54" s="3">
        <v>7</v>
      </c>
      <c r="V54" s="3">
        <v>0</v>
      </c>
      <c r="W54" s="3">
        <v>0</v>
      </c>
    </row>
    <row r="55" spans="1:23" ht="11.25" customHeight="1" x14ac:dyDescent="0.25">
      <c r="A55" s="3" t="s">
        <v>21</v>
      </c>
      <c r="B55" s="3" t="s">
        <v>35</v>
      </c>
      <c r="C55" s="3" t="s">
        <v>36</v>
      </c>
      <c r="D55" s="3" t="s">
        <v>34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44593</v>
      </c>
      <c r="J55" s="4">
        <v>1908</v>
      </c>
      <c r="K55" s="4">
        <v>1908</v>
      </c>
      <c r="L55" s="4">
        <v>0</v>
      </c>
      <c r="M55" s="4">
        <v>0</v>
      </c>
      <c r="N55" s="4">
        <v>0</v>
      </c>
      <c r="O55" s="4">
        <v>0</v>
      </c>
      <c r="P55" s="4">
        <v>9</v>
      </c>
      <c r="Q55" s="3" t="s">
        <v>26</v>
      </c>
      <c r="R55" s="3">
        <v>0</v>
      </c>
      <c r="S55" s="3" t="s">
        <v>108</v>
      </c>
      <c r="U55" s="3">
        <v>7</v>
      </c>
      <c r="V55" s="3">
        <v>0</v>
      </c>
      <c r="W55" s="3">
        <v>0</v>
      </c>
    </row>
    <row r="56" spans="1:23" ht="11.25" customHeight="1" x14ac:dyDescent="0.25">
      <c r="A56" s="3" t="s">
        <v>21</v>
      </c>
      <c r="B56" s="3" t="s">
        <v>35</v>
      </c>
      <c r="C56" s="3" t="s">
        <v>36</v>
      </c>
      <c r="D56" s="3" t="s">
        <v>34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44621</v>
      </c>
      <c r="J56" s="4">
        <v>1897</v>
      </c>
      <c r="K56" s="4">
        <v>1897</v>
      </c>
      <c r="L56" s="4">
        <v>0</v>
      </c>
      <c r="M56" s="4">
        <v>0</v>
      </c>
      <c r="N56" s="4">
        <v>0</v>
      </c>
      <c r="O56" s="4">
        <v>0</v>
      </c>
      <c r="P56" s="4">
        <v>9</v>
      </c>
      <c r="Q56" s="3" t="s">
        <v>26</v>
      </c>
      <c r="R56" s="3">
        <v>0</v>
      </c>
      <c r="S56" s="3" t="s">
        <v>109</v>
      </c>
      <c r="U56" s="3">
        <v>7</v>
      </c>
      <c r="V56" s="3">
        <v>0</v>
      </c>
      <c r="W56" s="3">
        <v>0</v>
      </c>
    </row>
    <row r="57" spans="1:23" ht="11.25" customHeight="1" x14ac:dyDescent="0.25">
      <c r="A57" s="3" t="s">
        <v>21</v>
      </c>
      <c r="B57" s="3" t="s">
        <v>35</v>
      </c>
      <c r="C57" s="3" t="s">
        <v>36</v>
      </c>
      <c r="D57" s="3" t="s">
        <v>34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44652</v>
      </c>
      <c r="J57" s="4">
        <v>1821</v>
      </c>
      <c r="K57" s="4">
        <v>1821</v>
      </c>
      <c r="L57" s="4">
        <v>0</v>
      </c>
      <c r="M57" s="4">
        <v>0</v>
      </c>
      <c r="N57" s="4">
        <v>0</v>
      </c>
      <c r="O57" s="4">
        <v>0</v>
      </c>
      <c r="P57" s="4">
        <v>8</v>
      </c>
      <c r="Q57" s="3" t="s">
        <v>26</v>
      </c>
      <c r="R57" s="3">
        <v>0</v>
      </c>
      <c r="S57" s="3" t="s">
        <v>110</v>
      </c>
      <c r="U57" s="3">
        <v>7</v>
      </c>
      <c r="V57" s="3">
        <v>0</v>
      </c>
      <c r="W57" s="3">
        <v>0</v>
      </c>
    </row>
    <row r="58" spans="1:23" ht="11.25" customHeight="1" x14ac:dyDescent="0.25">
      <c r="A58" s="3" t="s">
        <v>21</v>
      </c>
      <c r="B58" s="3" t="s">
        <v>35</v>
      </c>
      <c r="C58" s="3" t="s">
        <v>36</v>
      </c>
      <c r="D58" s="3" t="s">
        <v>34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44682</v>
      </c>
      <c r="J58" s="4">
        <v>1800</v>
      </c>
      <c r="K58" s="4">
        <v>1800</v>
      </c>
      <c r="L58" s="4">
        <v>0</v>
      </c>
      <c r="M58" s="4">
        <v>0</v>
      </c>
      <c r="N58" s="4">
        <v>0</v>
      </c>
      <c r="O58" s="4">
        <v>0</v>
      </c>
      <c r="P58" s="4">
        <v>8</v>
      </c>
      <c r="Q58" s="3" t="s">
        <v>26</v>
      </c>
      <c r="R58" s="3">
        <v>0</v>
      </c>
      <c r="S58" s="3" t="s">
        <v>111</v>
      </c>
      <c r="U58" s="3">
        <v>7</v>
      </c>
      <c r="V58" s="3">
        <v>0</v>
      </c>
      <c r="W58" s="3">
        <v>0</v>
      </c>
    </row>
    <row r="59" spans="1:23" ht="11.25" customHeight="1" x14ac:dyDescent="0.25">
      <c r="A59" s="3" t="s">
        <v>21</v>
      </c>
      <c r="B59" s="3" t="s">
        <v>35</v>
      </c>
      <c r="C59" s="3" t="s">
        <v>36</v>
      </c>
      <c r="D59" s="3" t="s">
        <v>34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44713</v>
      </c>
      <c r="J59" s="4">
        <v>1791</v>
      </c>
      <c r="K59" s="4">
        <v>1791</v>
      </c>
      <c r="L59" s="4">
        <v>0</v>
      </c>
      <c r="M59" s="4">
        <v>0</v>
      </c>
      <c r="N59" s="4">
        <v>0</v>
      </c>
      <c r="O59" s="4">
        <v>0</v>
      </c>
      <c r="P59" s="4">
        <v>8</v>
      </c>
      <c r="Q59" s="3" t="s">
        <v>26</v>
      </c>
      <c r="R59" s="3">
        <v>0</v>
      </c>
      <c r="S59" s="3" t="s">
        <v>112</v>
      </c>
      <c r="U59" s="3">
        <v>7</v>
      </c>
      <c r="V59" s="3">
        <v>0</v>
      </c>
      <c r="W59" s="3">
        <v>0</v>
      </c>
    </row>
    <row r="60" spans="1:23" ht="11.25" customHeight="1" x14ac:dyDescent="0.25">
      <c r="A60" s="3" t="s">
        <v>21</v>
      </c>
      <c r="B60" s="3" t="s">
        <v>35</v>
      </c>
      <c r="C60" s="3" t="s">
        <v>36</v>
      </c>
      <c r="D60" s="3" t="s">
        <v>34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44743</v>
      </c>
      <c r="J60" s="4">
        <v>1823</v>
      </c>
      <c r="K60" s="4">
        <v>1823</v>
      </c>
      <c r="L60" s="4">
        <v>0</v>
      </c>
      <c r="M60" s="4">
        <v>0</v>
      </c>
      <c r="N60" s="4">
        <v>0</v>
      </c>
      <c r="O60" s="4">
        <v>0</v>
      </c>
      <c r="P60" s="4">
        <v>8</v>
      </c>
      <c r="Q60" s="3" t="s">
        <v>26</v>
      </c>
      <c r="R60" s="3">
        <v>0</v>
      </c>
      <c r="S60" s="3" t="s">
        <v>113</v>
      </c>
      <c r="U60" s="3">
        <v>7</v>
      </c>
      <c r="V60" s="3">
        <v>0</v>
      </c>
      <c r="W60" s="3">
        <v>0</v>
      </c>
    </row>
    <row r="61" spans="1:23" ht="11.25" customHeight="1" x14ac:dyDescent="0.25">
      <c r="A61" s="3" t="s">
        <v>21</v>
      </c>
      <c r="B61" s="3" t="s">
        <v>35</v>
      </c>
      <c r="C61" s="3" t="s">
        <v>36</v>
      </c>
      <c r="D61" s="3" t="s">
        <v>34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44774</v>
      </c>
      <c r="J61" s="4">
        <v>1826</v>
      </c>
      <c r="K61" s="4">
        <v>1826</v>
      </c>
      <c r="L61" s="4">
        <v>0</v>
      </c>
      <c r="M61" s="4">
        <v>0</v>
      </c>
      <c r="N61" s="4">
        <v>0</v>
      </c>
      <c r="O61" s="4">
        <v>0</v>
      </c>
      <c r="P61" s="4">
        <v>8</v>
      </c>
      <c r="Q61" s="3" t="s">
        <v>26</v>
      </c>
      <c r="R61" s="3">
        <v>0</v>
      </c>
      <c r="S61" s="3" t="s">
        <v>114</v>
      </c>
      <c r="U61" s="3">
        <v>7</v>
      </c>
      <c r="V61" s="3">
        <v>0</v>
      </c>
      <c r="W61" s="3">
        <v>0</v>
      </c>
    </row>
    <row r="62" spans="1:23" ht="11.25" customHeight="1" x14ac:dyDescent="0.25">
      <c r="A62" s="3" t="s">
        <v>21</v>
      </c>
      <c r="B62" s="3" t="s">
        <v>35</v>
      </c>
      <c r="C62" s="3" t="s">
        <v>36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13.513</v>
      </c>
      <c r="M62" s="4">
        <v>13.513</v>
      </c>
      <c r="N62" s="4">
        <v>13.513</v>
      </c>
      <c r="O62" s="4">
        <v>13.513</v>
      </c>
      <c r="P62" s="4">
        <v>0</v>
      </c>
      <c r="Q62" s="3" t="s">
        <v>26</v>
      </c>
      <c r="R62" s="3">
        <v>0</v>
      </c>
      <c r="S62" s="3" t="s">
        <v>115</v>
      </c>
      <c r="T62" s="3" t="s">
        <v>241</v>
      </c>
      <c r="U62" s="3">
        <v>0</v>
      </c>
      <c r="V62" s="3">
        <v>13</v>
      </c>
      <c r="W62" s="3">
        <v>42</v>
      </c>
    </row>
    <row r="63" spans="1:23" ht="11.25" customHeight="1" x14ac:dyDescent="0.25">
      <c r="A63" s="3" t="s">
        <v>21</v>
      </c>
      <c r="B63" s="3" t="s">
        <v>35</v>
      </c>
      <c r="C63" s="3" t="s">
        <v>36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13.305</v>
      </c>
      <c r="M63" s="4">
        <v>13.305</v>
      </c>
      <c r="N63" s="4">
        <v>13.305</v>
      </c>
      <c r="O63" s="4">
        <v>13.305</v>
      </c>
      <c r="P63" s="4">
        <v>0</v>
      </c>
      <c r="Q63" s="3" t="s">
        <v>26</v>
      </c>
      <c r="R63" s="3">
        <v>0</v>
      </c>
      <c r="S63" s="3" t="s">
        <v>116</v>
      </c>
      <c r="T63" s="3" t="s">
        <v>242</v>
      </c>
      <c r="U63" s="3">
        <v>0</v>
      </c>
      <c r="V63" s="3">
        <v>13</v>
      </c>
      <c r="W63" s="3">
        <v>42</v>
      </c>
    </row>
    <row r="64" spans="1:23" ht="11.25" customHeight="1" x14ac:dyDescent="0.25">
      <c r="A64" s="3" t="s">
        <v>21</v>
      </c>
      <c r="B64" s="3" t="s">
        <v>35</v>
      </c>
      <c r="C64" s="3" t="s">
        <v>36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15.304</v>
      </c>
      <c r="M64" s="4">
        <v>15.304</v>
      </c>
      <c r="N64" s="4">
        <v>15.304</v>
      </c>
      <c r="O64" s="4">
        <v>15.304</v>
      </c>
      <c r="P64" s="4">
        <v>0</v>
      </c>
      <c r="Q64" s="3" t="s">
        <v>26</v>
      </c>
      <c r="R64" s="3">
        <v>0</v>
      </c>
      <c r="S64" s="3" t="s">
        <v>117</v>
      </c>
      <c r="T64" s="3" t="s">
        <v>243</v>
      </c>
      <c r="U64" s="3">
        <v>0</v>
      </c>
      <c r="V64" s="3">
        <v>13</v>
      </c>
      <c r="W64" s="3">
        <v>42</v>
      </c>
    </row>
    <row r="65" spans="1:23" ht="11.25" customHeight="1" x14ac:dyDescent="0.25">
      <c r="A65" s="3" t="s">
        <v>21</v>
      </c>
      <c r="B65" s="3" t="s">
        <v>35</v>
      </c>
      <c r="C65" s="3" t="s">
        <v>36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13.315</v>
      </c>
      <c r="M65" s="4">
        <v>13.315</v>
      </c>
      <c r="N65" s="4">
        <v>13.315</v>
      </c>
      <c r="O65" s="4">
        <v>13.315</v>
      </c>
      <c r="P65" s="4">
        <v>0</v>
      </c>
      <c r="Q65" s="3" t="s">
        <v>26</v>
      </c>
      <c r="R65" s="3">
        <v>0</v>
      </c>
      <c r="S65" s="3" t="s">
        <v>118</v>
      </c>
      <c r="T65" s="3" t="s">
        <v>244</v>
      </c>
      <c r="U65" s="3">
        <v>0</v>
      </c>
      <c r="V65" s="3">
        <v>13</v>
      </c>
      <c r="W65" s="3">
        <v>42</v>
      </c>
    </row>
    <row r="66" spans="1:23" ht="11.25" customHeight="1" x14ac:dyDescent="0.25">
      <c r="A66" s="3" t="s">
        <v>21</v>
      </c>
      <c r="B66" s="3" t="s">
        <v>35</v>
      </c>
      <c r="C66" s="3" t="s">
        <v>36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13.705</v>
      </c>
      <c r="M66" s="4">
        <v>13.705</v>
      </c>
      <c r="N66" s="4">
        <v>13.705</v>
      </c>
      <c r="O66" s="4">
        <v>13.705</v>
      </c>
      <c r="P66" s="4">
        <v>0</v>
      </c>
      <c r="Q66" s="3" t="s">
        <v>26</v>
      </c>
      <c r="R66" s="3">
        <v>0</v>
      </c>
      <c r="S66" s="3" t="s">
        <v>119</v>
      </c>
      <c r="T66" s="3" t="s">
        <v>245</v>
      </c>
      <c r="U66" s="3">
        <v>0</v>
      </c>
      <c r="V66" s="3">
        <v>13</v>
      </c>
      <c r="W66" s="3">
        <v>42</v>
      </c>
    </row>
    <row r="67" spans="1:23" ht="11.25" customHeight="1" x14ac:dyDescent="0.25">
      <c r="A67" s="3" t="s">
        <v>21</v>
      </c>
      <c r="B67" s="3" t="s">
        <v>35</v>
      </c>
      <c r="C67" s="3" t="s">
        <v>36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15.427</v>
      </c>
      <c r="M67" s="4">
        <v>15.427</v>
      </c>
      <c r="N67" s="4">
        <v>15.427</v>
      </c>
      <c r="O67" s="4">
        <v>15.427</v>
      </c>
      <c r="P67" s="4">
        <v>0</v>
      </c>
      <c r="Q67" s="3" t="s">
        <v>26</v>
      </c>
      <c r="R67" s="3">
        <v>0</v>
      </c>
      <c r="S67" s="3" t="s">
        <v>120</v>
      </c>
      <c r="T67" s="3" t="s">
        <v>246</v>
      </c>
      <c r="U67" s="3">
        <v>0</v>
      </c>
      <c r="V67" s="3">
        <v>13</v>
      </c>
      <c r="W67" s="3">
        <v>42</v>
      </c>
    </row>
    <row r="68" spans="1:23" ht="11.25" customHeight="1" x14ac:dyDescent="0.25">
      <c r="A68" s="3" t="s">
        <v>21</v>
      </c>
      <c r="B68" s="3" t="s">
        <v>35</v>
      </c>
      <c r="C68" s="3" t="s">
        <v>36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14.944000000000001</v>
      </c>
      <c r="M68" s="4">
        <v>14.944000000000001</v>
      </c>
      <c r="N68" s="4">
        <v>14.944000000000001</v>
      </c>
      <c r="O68" s="4">
        <v>14.944000000000001</v>
      </c>
      <c r="P68" s="4">
        <v>0</v>
      </c>
      <c r="Q68" s="3" t="s">
        <v>26</v>
      </c>
      <c r="R68" s="3">
        <v>0</v>
      </c>
      <c r="S68" s="3" t="s">
        <v>121</v>
      </c>
      <c r="T68" s="3" t="s">
        <v>247</v>
      </c>
      <c r="U68" s="3">
        <v>0</v>
      </c>
      <c r="V68" s="3">
        <v>13</v>
      </c>
      <c r="W68" s="3">
        <v>42</v>
      </c>
    </row>
    <row r="69" spans="1:23" ht="11.25" customHeight="1" x14ac:dyDescent="0.25">
      <c r="A69" s="3" t="s">
        <v>21</v>
      </c>
      <c r="B69" s="3" t="s">
        <v>35</v>
      </c>
      <c r="C69" s="3" t="s">
        <v>36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12.222</v>
      </c>
      <c r="M69" s="4">
        <v>12.222</v>
      </c>
      <c r="N69" s="4">
        <v>12.222</v>
      </c>
      <c r="O69" s="4">
        <v>12.222</v>
      </c>
      <c r="P69" s="4">
        <v>0</v>
      </c>
      <c r="Q69" s="3" t="s">
        <v>26</v>
      </c>
      <c r="R69" s="3">
        <v>0</v>
      </c>
      <c r="S69" s="3" t="s">
        <v>122</v>
      </c>
      <c r="T69" s="3" t="s">
        <v>248</v>
      </c>
      <c r="U69" s="3">
        <v>0</v>
      </c>
      <c r="V69" s="3">
        <v>13</v>
      </c>
      <c r="W69" s="3">
        <v>42</v>
      </c>
    </row>
    <row r="70" spans="1:23" ht="11.25" customHeight="1" x14ac:dyDescent="0.25">
      <c r="A70" s="3" t="s">
        <v>21</v>
      </c>
      <c r="B70" s="3" t="s">
        <v>35</v>
      </c>
      <c r="C70" s="3" t="s">
        <v>36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11.316000000000001</v>
      </c>
      <c r="M70" s="4">
        <v>11.316000000000001</v>
      </c>
      <c r="N70" s="4">
        <v>11.316000000000001</v>
      </c>
      <c r="O70" s="4">
        <v>11.316000000000001</v>
      </c>
      <c r="P70" s="4">
        <v>0</v>
      </c>
      <c r="Q70" s="3" t="s">
        <v>26</v>
      </c>
      <c r="R70" s="3">
        <v>0</v>
      </c>
      <c r="S70" s="3" t="s">
        <v>123</v>
      </c>
      <c r="T70" s="3" t="s">
        <v>249</v>
      </c>
      <c r="U70" s="3">
        <v>0</v>
      </c>
      <c r="V70" s="3">
        <v>13</v>
      </c>
      <c r="W70" s="3">
        <v>42</v>
      </c>
    </row>
    <row r="71" spans="1:23" ht="11.25" customHeight="1" x14ac:dyDescent="0.25">
      <c r="A71" s="3" t="s">
        <v>21</v>
      </c>
      <c r="B71" s="3" t="s">
        <v>35</v>
      </c>
      <c r="C71" s="3" t="s">
        <v>36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10.59</v>
      </c>
      <c r="M71" s="4">
        <v>10.59</v>
      </c>
      <c r="N71" s="4">
        <v>10.59</v>
      </c>
      <c r="O71" s="4">
        <v>10.59</v>
      </c>
      <c r="P71" s="4">
        <v>0</v>
      </c>
      <c r="Q71" s="3" t="s">
        <v>26</v>
      </c>
      <c r="R71" s="3">
        <v>0</v>
      </c>
      <c r="S71" s="3" t="s">
        <v>124</v>
      </c>
      <c r="T71" s="3" t="s">
        <v>250</v>
      </c>
      <c r="U71" s="3">
        <v>0</v>
      </c>
      <c r="V71" s="3">
        <v>13</v>
      </c>
      <c r="W71" s="3">
        <v>42</v>
      </c>
    </row>
    <row r="72" spans="1:23" ht="11.25" customHeight="1" x14ac:dyDescent="0.25">
      <c r="A72" s="3" t="s">
        <v>21</v>
      </c>
      <c r="B72" s="3" t="s">
        <v>35</v>
      </c>
      <c r="C72" s="3" t="s">
        <v>36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12.12</v>
      </c>
      <c r="M72" s="4">
        <v>12.12</v>
      </c>
      <c r="N72" s="4">
        <v>12.12</v>
      </c>
      <c r="O72" s="4">
        <v>12.12</v>
      </c>
      <c r="P72" s="4">
        <v>0</v>
      </c>
      <c r="Q72" s="3" t="s">
        <v>26</v>
      </c>
      <c r="R72" s="3">
        <v>0</v>
      </c>
      <c r="S72" s="3" t="s">
        <v>125</v>
      </c>
      <c r="T72" s="3" t="s">
        <v>251</v>
      </c>
      <c r="U72" s="3">
        <v>0</v>
      </c>
      <c r="V72" s="3">
        <v>13</v>
      </c>
      <c r="W72" s="3">
        <v>42</v>
      </c>
    </row>
    <row r="73" spans="1:23" ht="11.25" customHeight="1" x14ac:dyDescent="0.25">
      <c r="A73" s="3" t="s">
        <v>21</v>
      </c>
      <c r="B73" s="3" t="s">
        <v>35</v>
      </c>
      <c r="C73" s="3" t="s">
        <v>36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12.395</v>
      </c>
      <c r="M73" s="4">
        <v>12.395</v>
      </c>
      <c r="N73" s="4">
        <v>12.395</v>
      </c>
      <c r="O73" s="4">
        <v>12.395</v>
      </c>
      <c r="P73" s="4">
        <v>0</v>
      </c>
      <c r="Q73" s="3" t="s">
        <v>26</v>
      </c>
      <c r="R73" s="3">
        <v>0</v>
      </c>
      <c r="S73" s="3" t="s">
        <v>126</v>
      </c>
      <c r="T73" s="3" t="s">
        <v>252</v>
      </c>
      <c r="U73" s="3">
        <v>0</v>
      </c>
      <c r="V73" s="3">
        <v>13</v>
      </c>
      <c r="W73" s="3">
        <v>42</v>
      </c>
    </row>
    <row r="74" spans="1:23" ht="11.25" customHeight="1" x14ac:dyDescent="0.25">
      <c r="A74" s="3" t="s">
        <v>21</v>
      </c>
      <c r="B74" s="3" t="s">
        <v>35</v>
      </c>
      <c r="C74" s="3" t="s">
        <v>36</v>
      </c>
      <c r="D74" s="3" t="s">
        <v>47</v>
      </c>
      <c r="E74" s="3" t="s">
        <v>48</v>
      </c>
      <c r="F74" s="3" t="s">
        <v>25</v>
      </c>
      <c r="G74" s="3" t="s">
        <v>25</v>
      </c>
      <c r="H74" s="3" t="s">
        <v>38</v>
      </c>
      <c r="I74" s="6">
        <v>44440</v>
      </c>
      <c r="J74" s="4">
        <v>0</v>
      </c>
      <c r="K74" s="4">
        <v>0</v>
      </c>
      <c r="L74" s="4">
        <v>8.5280000000000005</v>
      </c>
      <c r="M74" s="4">
        <v>8.0163200000000003</v>
      </c>
      <c r="N74" s="4">
        <v>8.5280000000000005</v>
      </c>
      <c r="O74" s="4">
        <v>8.0163200000000003</v>
      </c>
      <c r="P74" s="4">
        <v>0</v>
      </c>
      <c r="Q74" s="3" t="s">
        <v>26</v>
      </c>
      <c r="R74" s="3">
        <v>0</v>
      </c>
      <c r="S74" s="3" t="s">
        <v>91</v>
      </c>
      <c r="T74" s="3" t="s">
        <v>225</v>
      </c>
      <c r="U74" s="3">
        <v>0</v>
      </c>
      <c r="V74" s="3">
        <v>11</v>
      </c>
      <c r="W74" s="3">
        <v>56</v>
      </c>
    </row>
    <row r="75" spans="1:23" ht="11.25" customHeight="1" x14ac:dyDescent="0.25">
      <c r="A75" s="3" t="s">
        <v>21</v>
      </c>
      <c r="B75" s="3" t="s">
        <v>35</v>
      </c>
      <c r="C75" s="3" t="s">
        <v>36</v>
      </c>
      <c r="D75" s="3" t="s">
        <v>47</v>
      </c>
      <c r="E75" s="3" t="s">
        <v>48</v>
      </c>
      <c r="F75" s="3" t="s">
        <v>25</v>
      </c>
      <c r="G75" s="3" t="s">
        <v>25</v>
      </c>
      <c r="H75" s="3" t="s">
        <v>38</v>
      </c>
      <c r="I75" s="6">
        <v>44470</v>
      </c>
      <c r="J75" s="4">
        <v>0</v>
      </c>
      <c r="K75" s="4">
        <v>0</v>
      </c>
      <c r="L75" s="4">
        <v>9.7170000000000005</v>
      </c>
      <c r="M75" s="4">
        <v>9.1339799999999993</v>
      </c>
      <c r="N75" s="4">
        <v>9.7170000000000005</v>
      </c>
      <c r="O75" s="4">
        <v>9.1339799999999993</v>
      </c>
      <c r="P75" s="4">
        <v>0</v>
      </c>
      <c r="Q75" s="3" t="s">
        <v>26</v>
      </c>
      <c r="R75" s="3">
        <v>0</v>
      </c>
      <c r="S75" s="3" t="s">
        <v>92</v>
      </c>
      <c r="T75" s="3" t="s">
        <v>226</v>
      </c>
      <c r="U75" s="3">
        <v>0</v>
      </c>
      <c r="V75" s="3">
        <v>11</v>
      </c>
      <c r="W75" s="3">
        <v>56</v>
      </c>
    </row>
    <row r="76" spans="1:23" ht="11.25" customHeight="1" x14ac:dyDescent="0.25">
      <c r="A76" s="3" t="s">
        <v>21</v>
      </c>
      <c r="B76" s="3" t="s">
        <v>35</v>
      </c>
      <c r="C76" s="3" t="s">
        <v>36</v>
      </c>
      <c r="D76" s="3" t="s">
        <v>47</v>
      </c>
      <c r="E76" s="3" t="s">
        <v>48</v>
      </c>
      <c r="F76" s="3" t="s">
        <v>25</v>
      </c>
      <c r="G76" s="3" t="s">
        <v>25</v>
      </c>
      <c r="H76" s="3" t="s">
        <v>38</v>
      </c>
      <c r="I76" s="6">
        <v>44501</v>
      </c>
      <c r="J76" s="4">
        <v>0</v>
      </c>
      <c r="K76" s="4">
        <v>0</v>
      </c>
      <c r="L76" s="4">
        <v>10.782999999999999</v>
      </c>
      <c r="M76" s="4">
        <v>10.136019999999998</v>
      </c>
      <c r="N76" s="4">
        <v>10.782999999999999</v>
      </c>
      <c r="O76" s="4">
        <v>10.136019999999998</v>
      </c>
      <c r="P76" s="4">
        <v>0</v>
      </c>
      <c r="Q76" s="3" t="s">
        <v>26</v>
      </c>
      <c r="R76" s="3">
        <v>0</v>
      </c>
      <c r="S76" s="3" t="s">
        <v>93</v>
      </c>
      <c r="T76" s="3" t="s">
        <v>227</v>
      </c>
      <c r="U76" s="3">
        <v>0</v>
      </c>
      <c r="V76" s="3">
        <v>11</v>
      </c>
      <c r="W76" s="3">
        <v>56</v>
      </c>
    </row>
    <row r="77" spans="1:23" ht="11.25" customHeight="1" x14ac:dyDescent="0.25">
      <c r="A77" s="3" t="s">
        <v>21</v>
      </c>
      <c r="B77" s="3" t="s">
        <v>35</v>
      </c>
      <c r="C77" s="3" t="s">
        <v>36</v>
      </c>
      <c r="D77" s="3" t="s">
        <v>47</v>
      </c>
      <c r="E77" s="3" t="s">
        <v>48</v>
      </c>
      <c r="F77" s="3" t="s">
        <v>25</v>
      </c>
      <c r="G77" s="3" t="s">
        <v>25</v>
      </c>
      <c r="H77" s="3" t="s">
        <v>38</v>
      </c>
      <c r="I77" s="6">
        <v>44531</v>
      </c>
      <c r="J77" s="4">
        <v>0</v>
      </c>
      <c r="K77" s="4">
        <v>0</v>
      </c>
      <c r="L77" s="4">
        <v>9.3480000000000008</v>
      </c>
      <c r="M77" s="4">
        <v>8.7871199999999998</v>
      </c>
      <c r="N77" s="4">
        <v>9.3480000000000008</v>
      </c>
      <c r="O77" s="4">
        <v>8.7871199999999998</v>
      </c>
      <c r="P77" s="4">
        <v>0</v>
      </c>
      <c r="Q77" s="3" t="s">
        <v>26</v>
      </c>
      <c r="R77" s="3">
        <v>0</v>
      </c>
      <c r="S77" s="3" t="s">
        <v>94</v>
      </c>
      <c r="T77" s="3" t="s">
        <v>228</v>
      </c>
      <c r="U77" s="3">
        <v>0</v>
      </c>
      <c r="V77" s="3">
        <v>11</v>
      </c>
      <c r="W77" s="3">
        <v>56</v>
      </c>
    </row>
    <row r="78" spans="1:23" ht="11.25" customHeight="1" x14ac:dyDescent="0.25">
      <c r="A78" s="3" t="s">
        <v>21</v>
      </c>
      <c r="B78" s="3" t="s">
        <v>35</v>
      </c>
      <c r="C78" s="3" t="s">
        <v>36</v>
      </c>
      <c r="D78" s="3" t="s">
        <v>47</v>
      </c>
      <c r="E78" s="3" t="s">
        <v>48</v>
      </c>
      <c r="F78" s="3" t="s">
        <v>25</v>
      </c>
      <c r="G78" s="3" t="s">
        <v>25</v>
      </c>
      <c r="H78" s="3" t="s">
        <v>38</v>
      </c>
      <c r="I78" s="6">
        <v>44562</v>
      </c>
      <c r="J78" s="4">
        <v>0</v>
      </c>
      <c r="K78" s="4">
        <v>0</v>
      </c>
      <c r="L78" s="4">
        <v>9.9629999999999992</v>
      </c>
      <c r="M78" s="4">
        <v>9.365219999999999</v>
      </c>
      <c r="N78" s="4">
        <v>9.9629999999999992</v>
      </c>
      <c r="O78" s="4">
        <v>9.365219999999999</v>
      </c>
      <c r="P78" s="4">
        <v>0</v>
      </c>
      <c r="Q78" s="3" t="s">
        <v>26</v>
      </c>
      <c r="R78" s="3">
        <v>0</v>
      </c>
      <c r="S78" s="3" t="s">
        <v>95</v>
      </c>
      <c r="T78" s="3" t="s">
        <v>229</v>
      </c>
      <c r="U78" s="3">
        <v>0</v>
      </c>
      <c r="V78" s="3">
        <v>11</v>
      </c>
      <c r="W78" s="3">
        <v>56</v>
      </c>
    </row>
    <row r="79" spans="1:23" ht="11.25" customHeight="1" x14ac:dyDescent="0.25">
      <c r="A79" s="3" t="s">
        <v>21</v>
      </c>
      <c r="B79" s="3" t="s">
        <v>35</v>
      </c>
      <c r="C79" s="3" t="s">
        <v>36</v>
      </c>
      <c r="D79" s="3" t="s">
        <v>47</v>
      </c>
      <c r="E79" s="3" t="s">
        <v>48</v>
      </c>
      <c r="F79" s="3" t="s">
        <v>25</v>
      </c>
      <c r="G79" s="3" t="s">
        <v>25</v>
      </c>
      <c r="H79" s="3" t="s">
        <v>38</v>
      </c>
      <c r="I79" s="6">
        <v>44593</v>
      </c>
      <c r="J79" s="4">
        <v>0</v>
      </c>
      <c r="K79" s="4">
        <v>0</v>
      </c>
      <c r="L79" s="4">
        <v>9.2249999999999996</v>
      </c>
      <c r="M79" s="4">
        <v>8.6715</v>
      </c>
      <c r="N79" s="4">
        <v>9.2249999999999996</v>
      </c>
      <c r="O79" s="4">
        <v>8.6715</v>
      </c>
      <c r="P79" s="4">
        <v>0</v>
      </c>
      <c r="Q79" s="3" t="s">
        <v>26</v>
      </c>
      <c r="R79" s="3">
        <v>0</v>
      </c>
      <c r="S79" s="3" t="s">
        <v>96</v>
      </c>
      <c r="T79" s="3" t="s">
        <v>230</v>
      </c>
      <c r="U79" s="3">
        <v>0</v>
      </c>
      <c r="V79" s="3">
        <v>11</v>
      </c>
      <c r="W79" s="3">
        <v>56</v>
      </c>
    </row>
    <row r="80" spans="1:23" ht="11.25" customHeight="1" x14ac:dyDescent="0.25">
      <c r="A80" s="3" t="s">
        <v>21</v>
      </c>
      <c r="B80" s="3" t="s">
        <v>35</v>
      </c>
      <c r="C80" s="3" t="s">
        <v>36</v>
      </c>
      <c r="D80" s="3" t="s">
        <v>47</v>
      </c>
      <c r="E80" s="3" t="s">
        <v>48</v>
      </c>
      <c r="F80" s="3" t="s">
        <v>25</v>
      </c>
      <c r="G80" s="3" t="s">
        <v>25</v>
      </c>
      <c r="H80" s="3" t="s">
        <v>38</v>
      </c>
      <c r="I80" s="6">
        <v>44621</v>
      </c>
      <c r="J80" s="4">
        <v>0</v>
      </c>
      <c r="K80" s="4">
        <v>0</v>
      </c>
      <c r="L80" s="4">
        <v>9.3889999999999993</v>
      </c>
      <c r="M80" s="4">
        <v>8.8256599999999992</v>
      </c>
      <c r="N80" s="4">
        <v>9.3889999999999993</v>
      </c>
      <c r="O80" s="4">
        <v>8.8256599999999992</v>
      </c>
      <c r="P80" s="4">
        <v>0</v>
      </c>
      <c r="Q80" s="3" t="s">
        <v>26</v>
      </c>
      <c r="R80" s="3">
        <v>0</v>
      </c>
      <c r="S80" s="3" t="s">
        <v>97</v>
      </c>
      <c r="T80" s="3" t="s">
        <v>231</v>
      </c>
      <c r="U80" s="3">
        <v>0</v>
      </c>
      <c r="V80" s="3">
        <v>11</v>
      </c>
      <c r="W80" s="3">
        <v>56</v>
      </c>
    </row>
    <row r="81" spans="1:23" ht="11.25" customHeight="1" x14ac:dyDescent="0.25">
      <c r="A81" s="3" t="s">
        <v>21</v>
      </c>
      <c r="B81" s="3" t="s">
        <v>35</v>
      </c>
      <c r="C81" s="3" t="s">
        <v>36</v>
      </c>
      <c r="D81" s="3" t="s">
        <v>47</v>
      </c>
      <c r="E81" s="3" t="s">
        <v>48</v>
      </c>
      <c r="F81" s="3" t="s">
        <v>25</v>
      </c>
      <c r="G81" s="3" t="s">
        <v>25</v>
      </c>
      <c r="H81" s="3" t="s">
        <v>38</v>
      </c>
      <c r="I81" s="6">
        <v>44652</v>
      </c>
      <c r="J81" s="4">
        <v>0</v>
      </c>
      <c r="K81" s="4">
        <v>0</v>
      </c>
      <c r="L81" s="4">
        <v>8.4049999999999994</v>
      </c>
      <c r="M81" s="4">
        <v>7.9006999999999996</v>
      </c>
      <c r="N81" s="4">
        <v>8.4049999999999994</v>
      </c>
      <c r="O81" s="4">
        <v>7.9006999999999996</v>
      </c>
      <c r="P81" s="4">
        <v>0</v>
      </c>
      <c r="Q81" s="3" t="s">
        <v>26</v>
      </c>
      <c r="R81" s="3">
        <v>0</v>
      </c>
      <c r="S81" s="3" t="s">
        <v>98</v>
      </c>
      <c r="T81" s="3" t="s">
        <v>232</v>
      </c>
      <c r="U81" s="3">
        <v>0</v>
      </c>
      <c r="V81" s="3">
        <v>11</v>
      </c>
      <c r="W81" s="3">
        <v>56</v>
      </c>
    </row>
    <row r="82" spans="1:23" ht="11.25" customHeight="1" x14ac:dyDescent="0.25">
      <c r="A82" s="3" t="s">
        <v>21</v>
      </c>
      <c r="B82" s="3" t="s">
        <v>35</v>
      </c>
      <c r="C82" s="3" t="s">
        <v>36</v>
      </c>
      <c r="D82" s="3" t="s">
        <v>47</v>
      </c>
      <c r="E82" s="3" t="s">
        <v>48</v>
      </c>
      <c r="F82" s="3" t="s">
        <v>25</v>
      </c>
      <c r="G82" s="3" t="s">
        <v>25</v>
      </c>
      <c r="H82" s="3" t="s">
        <v>38</v>
      </c>
      <c r="I82" s="6">
        <v>44682</v>
      </c>
      <c r="J82" s="4">
        <v>0</v>
      </c>
      <c r="K82" s="4">
        <v>0</v>
      </c>
      <c r="L82" s="4">
        <v>8.0359999999999996</v>
      </c>
      <c r="M82" s="4">
        <v>7.5538400000000001</v>
      </c>
      <c r="N82" s="4">
        <v>8.0359999999999996</v>
      </c>
      <c r="O82" s="4">
        <v>7.5538400000000001</v>
      </c>
      <c r="P82" s="4">
        <v>0</v>
      </c>
      <c r="Q82" s="3" t="s">
        <v>26</v>
      </c>
      <c r="R82" s="3">
        <v>0</v>
      </c>
      <c r="S82" s="3" t="s">
        <v>99</v>
      </c>
      <c r="T82" s="3" t="s">
        <v>233</v>
      </c>
      <c r="U82" s="3">
        <v>0</v>
      </c>
      <c r="V82" s="3">
        <v>11</v>
      </c>
      <c r="W82" s="3">
        <v>56</v>
      </c>
    </row>
    <row r="83" spans="1:23" ht="11.25" customHeight="1" x14ac:dyDescent="0.25">
      <c r="A83" s="3" t="s">
        <v>21</v>
      </c>
      <c r="B83" s="3" t="s">
        <v>35</v>
      </c>
      <c r="C83" s="3" t="s">
        <v>36</v>
      </c>
      <c r="D83" s="3" t="s">
        <v>47</v>
      </c>
      <c r="E83" s="3" t="s">
        <v>48</v>
      </c>
      <c r="F83" s="3" t="s">
        <v>25</v>
      </c>
      <c r="G83" s="3" t="s">
        <v>25</v>
      </c>
      <c r="H83" s="3" t="s">
        <v>38</v>
      </c>
      <c r="I83" s="6">
        <v>44713</v>
      </c>
      <c r="J83" s="4">
        <v>0</v>
      </c>
      <c r="K83" s="4">
        <v>0</v>
      </c>
      <c r="L83" s="4">
        <v>9.3480000000000008</v>
      </c>
      <c r="M83" s="4">
        <v>8.7871199999999998</v>
      </c>
      <c r="N83" s="4">
        <v>9.3480000000000008</v>
      </c>
      <c r="O83" s="4">
        <v>8.7871199999999998</v>
      </c>
      <c r="P83" s="4">
        <v>0</v>
      </c>
      <c r="Q83" s="3" t="s">
        <v>26</v>
      </c>
      <c r="R83" s="3">
        <v>0</v>
      </c>
      <c r="S83" s="3" t="s">
        <v>100</v>
      </c>
      <c r="T83" s="3" t="s">
        <v>234</v>
      </c>
      <c r="U83" s="3">
        <v>0</v>
      </c>
      <c r="V83" s="3">
        <v>11</v>
      </c>
      <c r="W83" s="3">
        <v>56</v>
      </c>
    </row>
    <row r="84" spans="1:23" ht="11.25" customHeight="1" x14ac:dyDescent="0.25">
      <c r="A84" s="3" t="s">
        <v>21</v>
      </c>
      <c r="B84" s="3" t="s">
        <v>35</v>
      </c>
      <c r="C84" s="3" t="s">
        <v>36</v>
      </c>
      <c r="D84" s="3" t="s">
        <v>47</v>
      </c>
      <c r="E84" s="3" t="s">
        <v>48</v>
      </c>
      <c r="F84" s="3" t="s">
        <v>25</v>
      </c>
      <c r="G84" s="3" t="s">
        <v>25</v>
      </c>
      <c r="H84" s="3" t="s">
        <v>38</v>
      </c>
      <c r="I84" s="6">
        <v>44743</v>
      </c>
      <c r="J84" s="4">
        <v>0</v>
      </c>
      <c r="K84" s="4">
        <v>0</v>
      </c>
      <c r="L84" s="4">
        <v>9.02</v>
      </c>
      <c r="M84" s="4">
        <v>8.4787999999999997</v>
      </c>
      <c r="N84" s="4">
        <v>9.02</v>
      </c>
      <c r="O84" s="4">
        <v>8.4787999999999997</v>
      </c>
      <c r="P84" s="4">
        <v>0</v>
      </c>
      <c r="Q84" s="3" t="s">
        <v>26</v>
      </c>
      <c r="R84" s="3">
        <v>0</v>
      </c>
      <c r="S84" s="3" t="s">
        <v>101</v>
      </c>
      <c r="T84" s="3" t="s">
        <v>235</v>
      </c>
      <c r="U84" s="3">
        <v>0</v>
      </c>
      <c r="V84" s="3">
        <v>11</v>
      </c>
      <c r="W84" s="3">
        <v>56</v>
      </c>
    </row>
    <row r="85" spans="1:23" ht="11.25" customHeight="1" x14ac:dyDescent="0.25">
      <c r="A85" s="3" t="s">
        <v>21</v>
      </c>
      <c r="B85" s="3" t="s">
        <v>35</v>
      </c>
      <c r="C85" s="3" t="s">
        <v>36</v>
      </c>
      <c r="D85" s="3" t="s">
        <v>47</v>
      </c>
      <c r="E85" s="3" t="s">
        <v>48</v>
      </c>
      <c r="F85" s="3" t="s">
        <v>25</v>
      </c>
      <c r="G85" s="3" t="s">
        <v>25</v>
      </c>
      <c r="H85" s="3" t="s">
        <v>38</v>
      </c>
      <c r="I85" s="6">
        <v>44774</v>
      </c>
      <c r="J85" s="4">
        <v>0</v>
      </c>
      <c r="K85" s="4">
        <v>0</v>
      </c>
      <c r="L85" s="4">
        <v>8.8559999999999999</v>
      </c>
      <c r="M85" s="4">
        <v>8.3246400000000005</v>
      </c>
      <c r="N85" s="4">
        <v>8.8559999999999999</v>
      </c>
      <c r="O85" s="4">
        <v>8.3246400000000005</v>
      </c>
      <c r="P85" s="4">
        <v>0</v>
      </c>
      <c r="Q85" s="3" t="s">
        <v>26</v>
      </c>
      <c r="R85" s="3">
        <v>0</v>
      </c>
      <c r="S85" s="3" t="s">
        <v>102</v>
      </c>
      <c r="T85" s="3" t="s">
        <v>236</v>
      </c>
      <c r="U85" s="3">
        <v>0</v>
      </c>
      <c r="V85" s="3">
        <v>11</v>
      </c>
      <c r="W85" s="3">
        <v>56</v>
      </c>
    </row>
    <row r="86" spans="1:23" ht="11.25" customHeight="1" x14ac:dyDescent="0.25">
      <c r="A86" s="3" t="s">
        <v>21</v>
      </c>
      <c r="B86" s="3" t="s">
        <v>35</v>
      </c>
      <c r="C86" s="3" t="s">
        <v>36</v>
      </c>
      <c r="D86" s="3" t="s">
        <v>47</v>
      </c>
      <c r="E86" s="3" t="s">
        <v>48</v>
      </c>
      <c r="F86" s="3" t="s">
        <v>25</v>
      </c>
      <c r="G86" s="3" t="s">
        <v>25</v>
      </c>
      <c r="H86" s="3" t="s">
        <v>25</v>
      </c>
      <c r="I86" s="6">
        <v>44440</v>
      </c>
      <c r="J86" s="4">
        <v>55</v>
      </c>
      <c r="K86" s="4">
        <v>51.699999999999996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3" t="s">
        <v>26</v>
      </c>
      <c r="R86" s="3">
        <v>0</v>
      </c>
      <c r="S86" s="3" t="s">
        <v>103</v>
      </c>
      <c r="U86" s="3">
        <v>7</v>
      </c>
      <c r="V86" s="3">
        <v>0</v>
      </c>
      <c r="W86" s="3">
        <v>0</v>
      </c>
    </row>
    <row r="87" spans="1:23" ht="11.25" customHeight="1" x14ac:dyDescent="0.25">
      <c r="A87" s="3" t="s">
        <v>21</v>
      </c>
      <c r="B87" s="3" t="s">
        <v>35</v>
      </c>
      <c r="C87" s="3" t="s">
        <v>36</v>
      </c>
      <c r="D87" s="3" t="s">
        <v>47</v>
      </c>
      <c r="E87" s="3" t="s">
        <v>48</v>
      </c>
      <c r="F87" s="3" t="s">
        <v>25</v>
      </c>
      <c r="G87" s="3" t="s">
        <v>25</v>
      </c>
      <c r="H87" s="3" t="s">
        <v>25</v>
      </c>
      <c r="I87" s="6">
        <v>44470</v>
      </c>
      <c r="J87" s="4">
        <v>55</v>
      </c>
      <c r="K87" s="4">
        <v>51.699999999999996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3" t="s">
        <v>26</v>
      </c>
      <c r="R87" s="3">
        <v>0</v>
      </c>
      <c r="S87" s="3" t="s">
        <v>104</v>
      </c>
      <c r="U87" s="3">
        <v>7</v>
      </c>
      <c r="V87" s="3">
        <v>0</v>
      </c>
      <c r="W87" s="3">
        <v>0</v>
      </c>
    </row>
    <row r="88" spans="1:23" ht="11.25" customHeight="1" x14ac:dyDescent="0.25">
      <c r="A88" s="3" t="s">
        <v>21</v>
      </c>
      <c r="B88" s="3" t="s">
        <v>35</v>
      </c>
      <c r="C88" s="3" t="s">
        <v>36</v>
      </c>
      <c r="D88" s="3" t="s">
        <v>47</v>
      </c>
      <c r="E88" s="3" t="s">
        <v>48</v>
      </c>
      <c r="F88" s="3" t="s">
        <v>25</v>
      </c>
      <c r="G88" s="3" t="s">
        <v>25</v>
      </c>
      <c r="H88" s="3" t="s">
        <v>25</v>
      </c>
      <c r="I88" s="6">
        <v>44501</v>
      </c>
      <c r="J88" s="4">
        <v>55</v>
      </c>
      <c r="K88" s="4">
        <v>51.699999999999996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3" t="s">
        <v>26</v>
      </c>
      <c r="R88" s="3">
        <v>0</v>
      </c>
      <c r="S88" s="3" t="s">
        <v>105</v>
      </c>
      <c r="U88" s="3">
        <v>7</v>
      </c>
      <c r="V88" s="3">
        <v>0</v>
      </c>
      <c r="W88" s="3">
        <v>0</v>
      </c>
    </row>
    <row r="89" spans="1:23" ht="11.25" customHeight="1" x14ac:dyDescent="0.25">
      <c r="A89" s="3" t="s">
        <v>21</v>
      </c>
      <c r="B89" s="3" t="s">
        <v>35</v>
      </c>
      <c r="C89" s="3" t="s">
        <v>36</v>
      </c>
      <c r="D89" s="3" t="s">
        <v>47</v>
      </c>
      <c r="E89" s="3" t="s">
        <v>48</v>
      </c>
      <c r="F89" s="3" t="s">
        <v>25</v>
      </c>
      <c r="G89" s="3" t="s">
        <v>25</v>
      </c>
      <c r="H89" s="3" t="s">
        <v>25</v>
      </c>
      <c r="I89" s="6">
        <v>44531</v>
      </c>
      <c r="J89" s="4">
        <v>55</v>
      </c>
      <c r="K89" s="4">
        <v>51.699999999999996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3" t="s">
        <v>26</v>
      </c>
      <c r="R89" s="3">
        <v>0</v>
      </c>
      <c r="S89" s="3" t="s">
        <v>106</v>
      </c>
      <c r="U89" s="3">
        <v>7</v>
      </c>
      <c r="V89" s="3">
        <v>0</v>
      </c>
      <c r="W89" s="3">
        <v>0</v>
      </c>
    </row>
    <row r="90" spans="1:23" ht="11.25" customHeight="1" x14ac:dyDescent="0.25">
      <c r="A90" s="3" t="s">
        <v>21</v>
      </c>
      <c r="B90" s="3" t="s">
        <v>35</v>
      </c>
      <c r="C90" s="3" t="s">
        <v>36</v>
      </c>
      <c r="D90" s="3" t="s">
        <v>47</v>
      </c>
      <c r="E90" s="3" t="s">
        <v>48</v>
      </c>
      <c r="F90" s="3" t="s">
        <v>25</v>
      </c>
      <c r="G90" s="3" t="s">
        <v>25</v>
      </c>
      <c r="H90" s="3" t="s">
        <v>25</v>
      </c>
      <c r="I90" s="6">
        <v>44562</v>
      </c>
      <c r="J90" s="4">
        <v>55</v>
      </c>
      <c r="K90" s="4">
        <v>51.699999999999996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3" t="s">
        <v>26</v>
      </c>
      <c r="R90" s="3">
        <v>0</v>
      </c>
      <c r="S90" s="3" t="s">
        <v>107</v>
      </c>
      <c r="U90" s="3">
        <v>7</v>
      </c>
      <c r="V90" s="3">
        <v>0</v>
      </c>
      <c r="W90" s="3">
        <v>0</v>
      </c>
    </row>
    <row r="91" spans="1:23" ht="11.25" customHeight="1" x14ac:dyDescent="0.25">
      <c r="A91" s="3" t="s">
        <v>21</v>
      </c>
      <c r="B91" s="3" t="s">
        <v>35</v>
      </c>
      <c r="C91" s="3" t="s">
        <v>36</v>
      </c>
      <c r="D91" s="3" t="s">
        <v>47</v>
      </c>
      <c r="E91" s="3" t="s">
        <v>48</v>
      </c>
      <c r="F91" s="3" t="s">
        <v>25</v>
      </c>
      <c r="G91" s="3" t="s">
        <v>25</v>
      </c>
      <c r="H91" s="3" t="s">
        <v>25</v>
      </c>
      <c r="I91" s="6">
        <v>44593</v>
      </c>
      <c r="J91" s="4">
        <v>55</v>
      </c>
      <c r="K91" s="4">
        <v>51.7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3" t="s">
        <v>26</v>
      </c>
      <c r="R91" s="3">
        <v>0</v>
      </c>
      <c r="S91" s="3" t="s">
        <v>108</v>
      </c>
      <c r="U91" s="3">
        <v>7</v>
      </c>
      <c r="V91" s="3">
        <v>0</v>
      </c>
      <c r="W91" s="3">
        <v>0</v>
      </c>
    </row>
    <row r="92" spans="1:23" ht="11.25" customHeight="1" x14ac:dyDescent="0.25">
      <c r="A92" s="3" t="s">
        <v>21</v>
      </c>
      <c r="B92" s="3" t="s">
        <v>35</v>
      </c>
      <c r="C92" s="3" t="s">
        <v>36</v>
      </c>
      <c r="D92" s="3" t="s">
        <v>47</v>
      </c>
      <c r="E92" s="3" t="s">
        <v>48</v>
      </c>
      <c r="F92" s="3" t="s">
        <v>25</v>
      </c>
      <c r="G92" s="3" t="s">
        <v>25</v>
      </c>
      <c r="H92" s="3" t="s">
        <v>25</v>
      </c>
      <c r="I92" s="6">
        <v>44621</v>
      </c>
      <c r="J92" s="4">
        <v>55</v>
      </c>
      <c r="K92" s="4">
        <v>51.7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3" t="s">
        <v>26</v>
      </c>
      <c r="R92" s="3">
        <v>0</v>
      </c>
      <c r="S92" s="3" t="s">
        <v>109</v>
      </c>
      <c r="U92" s="3">
        <v>7</v>
      </c>
      <c r="V92" s="3">
        <v>0</v>
      </c>
      <c r="W92" s="3">
        <v>0</v>
      </c>
    </row>
    <row r="93" spans="1:23" ht="11.25" customHeight="1" x14ac:dyDescent="0.25">
      <c r="A93" s="3" t="s">
        <v>21</v>
      </c>
      <c r="B93" s="3" t="s">
        <v>35</v>
      </c>
      <c r="C93" s="3" t="s">
        <v>36</v>
      </c>
      <c r="D93" s="3" t="s">
        <v>47</v>
      </c>
      <c r="E93" s="3" t="s">
        <v>48</v>
      </c>
      <c r="F93" s="3" t="s">
        <v>25</v>
      </c>
      <c r="G93" s="3" t="s">
        <v>25</v>
      </c>
      <c r="H93" s="3" t="s">
        <v>25</v>
      </c>
      <c r="I93" s="6">
        <v>44652</v>
      </c>
      <c r="J93" s="4">
        <v>55</v>
      </c>
      <c r="K93" s="4">
        <v>51.7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3" t="s">
        <v>26</v>
      </c>
      <c r="R93" s="3">
        <v>0</v>
      </c>
      <c r="S93" s="3" t="s">
        <v>110</v>
      </c>
      <c r="U93" s="3">
        <v>7</v>
      </c>
      <c r="V93" s="3">
        <v>0</v>
      </c>
      <c r="W93" s="3">
        <v>0</v>
      </c>
    </row>
    <row r="94" spans="1:23" ht="11.25" customHeight="1" x14ac:dyDescent="0.25">
      <c r="A94" s="3" t="s">
        <v>21</v>
      </c>
      <c r="B94" s="3" t="s">
        <v>35</v>
      </c>
      <c r="C94" s="3" t="s">
        <v>36</v>
      </c>
      <c r="D94" s="3" t="s">
        <v>47</v>
      </c>
      <c r="E94" s="3" t="s">
        <v>48</v>
      </c>
      <c r="F94" s="3" t="s">
        <v>25</v>
      </c>
      <c r="G94" s="3" t="s">
        <v>25</v>
      </c>
      <c r="H94" s="3" t="s">
        <v>25</v>
      </c>
      <c r="I94" s="6">
        <v>44682</v>
      </c>
      <c r="J94" s="4">
        <v>55</v>
      </c>
      <c r="K94" s="4">
        <v>51.7</v>
      </c>
      <c r="L94" s="4">
        <v>0</v>
      </c>
      <c r="M94" s="4">
        <v>0</v>
      </c>
      <c r="N94" s="4">
        <v>0</v>
      </c>
      <c r="O94" s="4">
        <v>0</v>
      </c>
      <c r="P94" s="4">
        <v>1</v>
      </c>
      <c r="Q94" s="3" t="s">
        <v>26</v>
      </c>
      <c r="R94" s="3">
        <v>0</v>
      </c>
      <c r="S94" s="3" t="s">
        <v>111</v>
      </c>
      <c r="U94" s="3">
        <v>7</v>
      </c>
      <c r="V94" s="3">
        <v>0</v>
      </c>
      <c r="W94" s="3">
        <v>0</v>
      </c>
    </row>
    <row r="95" spans="1:23" ht="11.25" customHeight="1" x14ac:dyDescent="0.25">
      <c r="A95" s="3" t="s">
        <v>21</v>
      </c>
      <c r="B95" s="3" t="s">
        <v>35</v>
      </c>
      <c r="C95" s="3" t="s">
        <v>36</v>
      </c>
      <c r="D95" s="3" t="s">
        <v>47</v>
      </c>
      <c r="E95" s="3" t="s">
        <v>48</v>
      </c>
      <c r="F95" s="3" t="s">
        <v>25</v>
      </c>
      <c r="G95" s="3" t="s">
        <v>25</v>
      </c>
      <c r="H95" s="3" t="s">
        <v>25</v>
      </c>
      <c r="I95" s="6">
        <v>44713</v>
      </c>
      <c r="J95" s="4">
        <v>55</v>
      </c>
      <c r="K95" s="4">
        <v>51.7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  <c r="Q95" s="3" t="s">
        <v>26</v>
      </c>
      <c r="R95" s="3">
        <v>0</v>
      </c>
      <c r="S95" s="3" t="s">
        <v>112</v>
      </c>
      <c r="U95" s="3">
        <v>7</v>
      </c>
      <c r="V95" s="3">
        <v>0</v>
      </c>
      <c r="W95" s="3">
        <v>0</v>
      </c>
    </row>
    <row r="96" spans="1:23" ht="11.25" customHeight="1" x14ac:dyDescent="0.25">
      <c r="A96" s="3" t="s">
        <v>21</v>
      </c>
      <c r="B96" s="3" t="s">
        <v>35</v>
      </c>
      <c r="C96" s="3" t="s">
        <v>36</v>
      </c>
      <c r="D96" s="3" t="s">
        <v>47</v>
      </c>
      <c r="E96" s="3" t="s">
        <v>48</v>
      </c>
      <c r="F96" s="3" t="s">
        <v>25</v>
      </c>
      <c r="G96" s="3" t="s">
        <v>25</v>
      </c>
      <c r="H96" s="3" t="s">
        <v>25</v>
      </c>
      <c r="I96" s="6">
        <v>44743</v>
      </c>
      <c r="J96" s="4">
        <v>55</v>
      </c>
      <c r="K96" s="4">
        <v>51.7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3" t="s">
        <v>26</v>
      </c>
      <c r="R96" s="3">
        <v>0</v>
      </c>
      <c r="S96" s="3" t="s">
        <v>113</v>
      </c>
      <c r="U96" s="3">
        <v>7</v>
      </c>
      <c r="V96" s="3">
        <v>0</v>
      </c>
      <c r="W96" s="3">
        <v>0</v>
      </c>
    </row>
    <row r="97" spans="1:23" ht="11.25" customHeight="1" x14ac:dyDescent="0.25">
      <c r="A97" s="3" t="s">
        <v>21</v>
      </c>
      <c r="B97" s="3" t="s">
        <v>35</v>
      </c>
      <c r="C97" s="3" t="s">
        <v>36</v>
      </c>
      <c r="D97" s="3" t="s">
        <v>47</v>
      </c>
      <c r="E97" s="3" t="s">
        <v>48</v>
      </c>
      <c r="F97" s="3" t="s">
        <v>25</v>
      </c>
      <c r="G97" s="3" t="s">
        <v>25</v>
      </c>
      <c r="H97" s="3" t="s">
        <v>25</v>
      </c>
      <c r="I97" s="6">
        <v>44774</v>
      </c>
      <c r="J97" s="4">
        <v>55</v>
      </c>
      <c r="K97" s="4">
        <v>51.7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3" t="s">
        <v>26</v>
      </c>
      <c r="R97" s="3">
        <v>0</v>
      </c>
      <c r="S97" s="3" t="s">
        <v>114</v>
      </c>
      <c r="U97" s="3">
        <v>7</v>
      </c>
      <c r="V97" s="3">
        <v>0</v>
      </c>
      <c r="W97" s="3">
        <v>0</v>
      </c>
    </row>
    <row r="98" spans="1:23" ht="11.25" customHeight="1" x14ac:dyDescent="0.25">
      <c r="A98" s="3" t="s">
        <v>21</v>
      </c>
      <c r="B98" s="3" t="s">
        <v>35</v>
      </c>
      <c r="C98" s="3" t="s">
        <v>36</v>
      </c>
      <c r="D98" s="3" t="s">
        <v>47</v>
      </c>
      <c r="E98" s="3" t="s">
        <v>48</v>
      </c>
      <c r="F98" s="3" t="s">
        <v>25</v>
      </c>
      <c r="G98" s="3" t="s">
        <v>25</v>
      </c>
      <c r="H98" s="3" t="s">
        <v>37</v>
      </c>
      <c r="I98" s="6">
        <v>44440</v>
      </c>
      <c r="J98" s="4">
        <v>0</v>
      </c>
      <c r="K98" s="4">
        <v>0</v>
      </c>
      <c r="L98" s="4">
        <v>0.94299999999999995</v>
      </c>
      <c r="M98" s="4">
        <v>0.88641999999999987</v>
      </c>
      <c r="N98" s="4">
        <v>0.94299999999999995</v>
      </c>
      <c r="O98" s="4">
        <v>0.88641999999999987</v>
      </c>
      <c r="P98" s="4">
        <v>0</v>
      </c>
      <c r="Q98" s="3" t="s">
        <v>26</v>
      </c>
      <c r="R98" s="3">
        <v>0</v>
      </c>
      <c r="S98" s="3" t="s">
        <v>115</v>
      </c>
      <c r="T98" s="3" t="s">
        <v>241</v>
      </c>
      <c r="U98" s="3">
        <v>0</v>
      </c>
      <c r="V98" s="3">
        <v>13</v>
      </c>
      <c r="W98" s="3">
        <v>42</v>
      </c>
    </row>
    <row r="99" spans="1:23" ht="11.25" customHeight="1" x14ac:dyDescent="0.25">
      <c r="A99" s="3" t="s">
        <v>21</v>
      </c>
      <c r="B99" s="3" t="s">
        <v>35</v>
      </c>
      <c r="C99" s="3" t="s">
        <v>36</v>
      </c>
      <c r="D99" s="3" t="s">
        <v>47</v>
      </c>
      <c r="E99" s="3" t="s">
        <v>48</v>
      </c>
      <c r="F99" s="3" t="s">
        <v>25</v>
      </c>
      <c r="G99" s="3" t="s">
        <v>25</v>
      </c>
      <c r="H99" s="3" t="s">
        <v>37</v>
      </c>
      <c r="I99" s="6">
        <v>44470</v>
      </c>
      <c r="J99" s="4">
        <v>0</v>
      </c>
      <c r="K99" s="4">
        <v>0</v>
      </c>
      <c r="L99" s="4">
        <v>1.0660000000000001</v>
      </c>
      <c r="M99" s="4">
        <v>1.00204</v>
      </c>
      <c r="N99" s="4">
        <v>1.0660000000000001</v>
      </c>
      <c r="O99" s="4">
        <v>1.00204</v>
      </c>
      <c r="P99" s="4">
        <v>0</v>
      </c>
      <c r="Q99" s="3" t="s">
        <v>26</v>
      </c>
      <c r="R99" s="3">
        <v>0</v>
      </c>
      <c r="S99" s="3" t="s">
        <v>116</v>
      </c>
      <c r="T99" s="3" t="s">
        <v>242</v>
      </c>
      <c r="U99" s="3">
        <v>0</v>
      </c>
      <c r="V99" s="3">
        <v>13</v>
      </c>
      <c r="W99" s="3">
        <v>42</v>
      </c>
    </row>
    <row r="100" spans="1:23" ht="11.25" customHeight="1" x14ac:dyDescent="0.25">
      <c r="A100" s="3" t="s">
        <v>21</v>
      </c>
      <c r="B100" s="3" t="s">
        <v>35</v>
      </c>
      <c r="C100" s="3" t="s">
        <v>36</v>
      </c>
      <c r="D100" s="3" t="s">
        <v>47</v>
      </c>
      <c r="E100" s="3" t="s">
        <v>48</v>
      </c>
      <c r="F100" s="3" t="s">
        <v>25</v>
      </c>
      <c r="G100" s="3" t="s">
        <v>25</v>
      </c>
      <c r="H100" s="3" t="s">
        <v>37</v>
      </c>
      <c r="I100" s="6">
        <v>44501</v>
      </c>
      <c r="J100" s="4">
        <v>0</v>
      </c>
      <c r="K100" s="4">
        <v>0</v>
      </c>
      <c r="L100" s="4">
        <v>1.1479999999999999</v>
      </c>
      <c r="M100" s="4">
        <v>1.0791199999999999</v>
      </c>
      <c r="N100" s="4">
        <v>1.1479999999999999</v>
      </c>
      <c r="O100" s="4">
        <v>1.0791199999999999</v>
      </c>
      <c r="P100" s="4">
        <v>0</v>
      </c>
      <c r="Q100" s="3" t="s">
        <v>26</v>
      </c>
      <c r="R100" s="3">
        <v>0</v>
      </c>
      <c r="S100" s="3" t="s">
        <v>117</v>
      </c>
      <c r="T100" s="3" t="s">
        <v>243</v>
      </c>
      <c r="U100" s="3">
        <v>0</v>
      </c>
      <c r="V100" s="3">
        <v>13</v>
      </c>
      <c r="W100" s="3">
        <v>42</v>
      </c>
    </row>
    <row r="101" spans="1:23" ht="11.25" customHeight="1" x14ac:dyDescent="0.25">
      <c r="A101" s="3" t="s">
        <v>21</v>
      </c>
      <c r="B101" s="3" t="s">
        <v>35</v>
      </c>
      <c r="C101" s="3" t="s">
        <v>36</v>
      </c>
      <c r="D101" s="3" t="s">
        <v>47</v>
      </c>
      <c r="E101" s="3" t="s">
        <v>48</v>
      </c>
      <c r="F101" s="3" t="s">
        <v>25</v>
      </c>
      <c r="G101" s="3" t="s">
        <v>25</v>
      </c>
      <c r="H101" s="3" t="s">
        <v>37</v>
      </c>
      <c r="I101" s="6">
        <v>44531</v>
      </c>
      <c r="J101" s="4">
        <v>0</v>
      </c>
      <c r="K101" s="4">
        <v>0</v>
      </c>
      <c r="L101" s="4">
        <v>1.107</v>
      </c>
      <c r="M101" s="4">
        <v>1.0405799999999998</v>
      </c>
      <c r="N101" s="4">
        <v>1.107</v>
      </c>
      <c r="O101" s="4">
        <v>1.0405799999999998</v>
      </c>
      <c r="P101" s="4">
        <v>0</v>
      </c>
      <c r="Q101" s="3" t="s">
        <v>26</v>
      </c>
      <c r="R101" s="3">
        <v>0</v>
      </c>
      <c r="S101" s="3" t="s">
        <v>118</v>
      </c>
      <c r="T101" s="3" t="s">
        <v>244</v>
      </c>
      <c r="U101" s="3">
        <v>0</v>
      </c>
      <c r="V101" s="3">
        <v>13</v>
      </c>
      <c r="W101" s="3">
        <v>42</v>
      </c>
    </row>
    <row r="102" spans="1:23" ht="11.25" customHeight="1" x14ac:dyDescent="0.25">
      <c r="A102" s="3" t="s">
        <v>21</v>
      </c>
      <c r="B102" s="3" t="s">
        <v>35</v>
      </c>
      <c r="C102" s="3" t="s">
        <v>36</v>
      </c>
      <c r="D102" s="3" t="s">
        <v>47</v>
      </c>
      <c r="E102" s="3" t="s">
        <v>48</v>
      </c>
      <c r="F102" s="3" t="s">
        <v>25</v>
      </c>
      <c r="G102" s="3" t="s">
        <v>25</v>
      </c>
      <c r="H102" s="3" t="s">
        <v>37</v>
      </c>
      <c r="I102" s="6">
        <v>44562</v>
      </c>
      <c r="J102" s="4">
        <v>0</v>
      </c>
      <c r="K102" s="4">
        <v>0</v>
      </c>
      <c r="L102" s="4">
        <v>1.107</v>
      </c>
      <c r="M102" s="4">
        <v>1.0405799999999998</v>
      </c>
      <c r="N102" s="4">
        <v>1.107</v>
      </c>
      <c r="O102" s="4">
        <v>1.0405799999999998</v>
      </c>
      <c r="P102" s="4">
        <v>0</v>
      </c>
      <c r="Q102" s="3" t="s">
        <v>26</v>
      </c>
      <c r="R102" s="3">
        <v>0</v>
      </c>
      <c r="S102" s="3" t="s">
        <v>119</v>
      </c>
      <c r="T102" s="3" t="s">
        <v>245</v>
      </c>
      <c r="U102" s="3">
        <v>0</v>
      </c>
      <c r="V102" s="3">
        <v>13</v>
      </c>
      <c r="W102" s="3">
        <v>42</v>
      </c>
    </row>
    <row r="103" spans="1:23" ht="11.25" customHeight="1" x14ac:dyDescent="0.25">
      <c r="A103" s="3" t="s">
        <v>21</v>
      </c>
      <c r="B103" s="3" t="s">
        <v>35</v>
      </c>
      <c r="C103" s="3" t="s">
        <v>36</v>
      </c>
      <c r="D103" s="3" t="s">
        <v>47</v>
      </c>
      <c r="E103" s="3" t="s">
        <v>48</v>
      </c>
      <c r="F103" s="3" t="s">
        <v>25</v>
      </c>
      <c r="G103" s="3" t="s">
        <v>25</v>
      </c>
      <c r="H103" s="3" t="s">
        <v>37</v>
      </c>
      <c r="I103" s="6">
        <v>44593</v>
      </c>
      <c r="J103" s="4">
        <v>0</v>
      </c>
      <c r="K103" s="4">
        <v>0</v>
      </c>
      <c r="L103" s="4">
        <v>1.0249999999999999</v>
      </c>
      <c r="M103" s="4">
        <v>0.96350000000000002</v>
      </c>
      <c r="N103" s="4">
        <v>1.0249999999999999</v>
      </c>
      <c r="O103" s="4">
        <v>0.96350000000000002</v>
      </c>
      <c r="P103" s="4">
        <v>0</v>
      </c>
      <c r="Q103" s="3" t="s">
        <v>26</v>
      </c>
      <c r="R103" s="3">
        <v>0</v>
      </c>
      <c r="S103" s="3" t="s">
        <v>120</v>
      </c>
      <c r="T103" s="3" t="s">
        <v>246</v>
      </c>
      <c r="U103" s="3">
        <v>0</v>
      </c>
      <c r="V103" s="3">
        <v>13</v>
      </c>
      <c r="W103" s="3">
        <v>42</v>
      </c>
    </row>
    <row r="104" spans="1:23" ht="11.25" customHeight="1" x14ac:dyDescent="0.25">
      <c r="A104" s="3" t="s">
        <v>21</v>
      </c>
      <c r="B104" s="3" t="s">
        <v>35</v>
      </c>
      <c r="C104" s="3" t="s">
        <v>36</v>
      </c>
      <c r="D104" s="3" t="s">
        <v>47</v>
      </c>
      <c r="E104" s="3" t="s">
        <v>48</v>
      </c>
      <c r="F104" s="3" t="s">
        <v>25</v>
      </c>
      <c r="G104" s="3" t="s">
        <v>25</v>
      </c>
      <c r="H104" s="3" t="s">
        <v>37</v>
      </c>
      <c r="I104" s="6">
        <v>44621</v>
      </c>
      <c r="J104" s="4">
        <v>0</v>
      </c>
      <c r="K104" s="4">
        <v>0</v>
      </c>
      <c r="L104" s="4">
        <v>1.107</v>
      </c>
      <c r="M104" s="4">
        <v>1.0405800000000001</v>
      </c>
      <c r="N104" s="4">
        <v>1.107</v>
      </c>
      <c r="O104" s="4">
        <v>1.0405800000000001</v>
      </c>
      <c r="P104" s="4">
        <v>0</v>
      </c>
      <c r="Q104" s="3" t="s">
        <v>26</v>
      </c>
      <c r="R104" s="3">
        <v>0</v>
      </c>
      <c r="S104" s="3" t="s">
        <v>121</v>
      </c>
      <c r="T104" s="3" t="s">
        <v>247</v>
      </c>
      <c r="U104" s="3">
        <v>0</v>
      </c>
      <c r="V104" s="3">
        <v>13</v>
      </c>
      <c r="W104" s="3">
        <v>42</v>
      </c>
    </row>
    <row r="105" spans="1:23" ht="11.25" customHeight="1" x14ac:dyDescent="0.25">
      <c r="A105" s="3" t="s">
        <v>21</v>
      </c>
      <c r="B105" s="3" t="s">
        <v>35</v>
      </c>
      <c r="C105" s="3" t="s">
        <v>36</v>
      </c>
      <c r="D105" s="3" t="s">
        <v>47</v>
      </c>
      <c r="E105" s="3" t="s">
        <v>48</v>
      </c>
      <c r="F105" s="3" t="s">
        <v>25</v>
      </c>
      <c r="G105" s="3" t="s">
        <v>25</v>
      </c>
      <c r="H105" s="3" t="s">
        <v>37</v>
      </c>
      <c r="I105" s="6">
        <v>44652</v>
      </c>
      <c r="J105" s="4">
        <v>0</v>
      </c>
      <c r="K105" s="4">
        <v>0</v>
      </c>
      <c r="L105" s="4">
        <v>0.94299999999999995</v>
      </c>
      <c r="M105" s="4">
        <v>0.88641999999999999</v>
      </c>
      <c r="N105" s="4">
        <v>0.94299999999999995</v>
      </c>
      <c r="O105" s="4">
        <v>0.88641999999999999</v>
      </c>
      <c r="P105" s="4">
        <v>0</v>
      </c>
      <c r="Q105" s="3" t="s">
        <v>26</v>
      </c>
      <c r="R105" s="3">
        <v>0</v>
      </c>
      <c r="S105" s="3" t="s">
        <v>122</v>
      </c>
      <c r="T105" s="3" t="s">
        <v>248</v>
      </c>
      <c r="U105" s="3">
        <v>0</v>
      </c>
      <c r="V105" s="3">
        <v>13</v>
      </c>
      <c r="W105" s="3">
        <v>42</v>
      </c>
    </row>
    <row r="106" spans="1:23" ht="11.25" customHeight="1" x14ac:dyDescent="0.25">
      <c r="A106" s="3" t="s">
        <v>21</v>
      </c>
      <c r="B106" s="3" t="s">
        <v>35</v>
      </c>
      <c r="C106" s="3" t="s">
        <v>36</v>
      </c>
      <c r="D106" s="3" t="s">
        <v>47</v>
      </c>
      <c r="E106" s="3" t="s">
        <v>48</v>
      </c>
      <c r="F106" s="3" t="s">
        <v>25</v>
      </c>
      <c r="G106" s="3" t="s">
        <v>25</v>
      </c>
      <c r="H106" s="3" t="s">
        <v>37</v>
      </c>
      <c r="I106" s="6">
        <v>44682</v>
      </c>
      <c r="J106" s="4">
        <v>0</v>
      </c>
      <c r="K106" s="4">
        <v>0</v>
      </c>
      <c r="L106" s="4">
        <v>0.90200000000000002</v>
      </c>
      <c r="M106" s="4">
        <v>0.84787999999999997</v>
      </c>
      <c r="N106" s="4">
        <v>0.90200000000000002</v>
      </c>
      <c r="O106" s="4">
        <v>0.84787999999999997</v>
      </c>
      <c r="P106" s="4">
        <v>0</v>
      </c>
      <c r="Q106" s="3" t="s">
        <v>26</v>
      </c>
      <c r="R106" s="3">
        <v>0</v>
      </c>
      <c r="S106" s="3" t="s">
        <v>123</v>
      </c>
      <c r="T106" s="3" t="s">
        <v>249</v>
      </c>
      <c r="U106" s="3">
        <v>0</v>
      </c>
      <c r="V106" s="3">
        <v>13</v>
      </c>
      <c r="W106" s="3">
        <v>42</v>
      </c>
    </row>
    <row r="107" spans="1:23" ht="11.25" customHeight="1" x14ac:dyDescent="0.25">
      <c r="A107" s="3" t="s">
        <v>21</v>
      </c>
      <c r="B107" s="3" t="s">
        <v>35</v>
      </c>
      <c r="C107" s="3" t="s">
        <v>36</v>
      </c>
      <c r="D107" s="3" t="s">
        <v>47</v>
      </c>
      <c r="E107" s="3" t="s">
        <v>48</v>
      </c>
      <c r="F107" s="3" t="s">
        <v>25</v>
      </c>
      <c r="G107" s="3" t="s">
        <v>25</v>
      </c>
      <c r="H107" s="3" t="s">
        <v>37</v>
      </c>
      <c r="I107" s="6">
        <v>44713</v>
      </c>
      <c r="J107" s="4">
        <v>0</v>
      </c>
      <c r="K107" s="4">
        <v>0</v>
      </c>
      <c r="L107" s="4">
        <v>0.90200000000000002</v>
      </c>
      <c r="M107" s="4">
        <v>0.84787999999999997</v>
      </c>
      <c r="N107" s="4">
        <v>0.90200000000000002</v>
      </c>
      <c r="O107" s="4">
        <v>0.84787999999999997</v>
      </c>
      <c r="P107" s="4">
        <v>0</v>
      </c>
      <c r="Q107" s="3" t="s">
        <v>26</v>
      </c>
      <c r="R107" s="3">
        <v>0</v>
      </c>
      <c r="S107" s="3" t="s">
        <v>124</v>
      </c>
      <c r="T107" s="3" t="s">
        <v>250</v>
      </c>
      <c r="U107" s="3">
        <v>0</v>
      </c>
      <c r="V107" s="3">
        <v>13</v>
      </c>
      <c r="W107" s="3">
        <v>42</v>
      </c>
    </row>
    <row r="108" spans="1:23" ht="11.25" customHeight="1" x14ac:dyDescent="0.25">
      <c r="A108" s="3" t="s">
        <v>21</v>
      </c>
      <c r="B108" s="3" t="s">
        <v>35</v>
      </c>
      <c r="C108" s="3" t="s">
        <v>36</v>
      </c>
      <c r="D108" s="3" t="s">
        <v>47</v>
      </c>
      <c r="E108" s="3" t="s">
        <v>48</v>
      </c>
      <c r="F108" s="3" t="s">
        <v>25</v>
      </c>
      <c r="G108" s="3" t="s">
        <v>25</v>
      </c>
      <c r="H108" s="3" t="s">
        <v>37</v>
      </c>
      <c r="I108" s="6">
        <v>44743</v>
      </c>
      <c r="J108" s="4">
        <v>0</v>
      </c>
      <c r="K108" s="4">
        <v>0</v>
      </c>
      <c r="L108" s="4">
        <v>1.0660000000000001</v>
      </c>
      <c r="M108" s="4">
        <v>1.00204</v>
      </c>
      <c r="N108" s="4">
        <v>1.0660000000000001</v>
      </c>
      <c r="O108" s="4">
        <v>1.00204</v>
      </c>
      <c r="P108" s="4">
        <v>0</v>
      </c>
      <c r="Q108" s="3" t="s">
        <v>26</v>
      </c>
      <c r="R108" s="3">
        <v>0</v>
      </c>
      <c r="S108" s="3" t="s">
        <v>125</v>
      </c>
      <c r="T108" s="3" t="s">
        <v>251</v>
      </c>
      <c r="U108" s="3">
        <v>0</v>
      </c>
      <c r="V108" s="3">
        <v>13</v>
      </c>
      <c r="W108" s="3">
        <v>42</v>
      </c>
    </row>
    <row r="109" spans="1:23" ht="11.25" customHeight="1" x14ac:dyDescent="0.25">
      <c r="A109" s="3" t="s">
        <v>21</v>
      </c>
      <c r="B109" s="3" t="s">
        <v>35</v>
      </c>
      <c r="C109" s="3" t="s">
        <v>36</v>
      </c>
      <c r="D109" s="3" t="s">
        <v>47</v>
      </c>
      <c r="E109" s="3" t="s">
        <v>48</v>
      </c>
      <c r="F109" s="3" t="s">
        <v>25</v>
      </c>
      <c r="G109" s="3" t="s">
        <v>25</v>
      </c>
      <c r="H109" s="3" t="s">
        <v>37</v>
      </c>
      <c r="I109" s="6">
        <v>44774</v>
      </c>
      <c r="J109" s="4">
        <v>0</v>
      </c>
      <c r="K109" s="4">
        <v>0</v>
      </c>
      <c r="L109" s="4">
        <v>0.94299999999999995</v>
      </c>
      <c r="M109" s="4">
        <v>0.88641999999999999</v>
      </c>
      <c r="N109" s="4">
        <v>0.94299999999999995</v>
      </c>
      <c r="O109" s="4">
        <v>0.88641999999999999</v>
      </c>
      <c r="P109" s="4">
        <v>0</v>
      </c>
      <c r="Q109" s="3" t="s">
        <v>26</v>
      </c>
      <c r="R109" s="3">
        <v>0</v>
      </c>
      <c r="S109" s="3" t="s">
        <v>126</v>
      </c>
      <c r="T109" s="3" t="s">
        <v>252</v>
      </c>
      <c r="U109" s="3">
        <v>0</v>
      </c>
      <c r="V109" s="3">
        <v>13</v>
      </c>
      <c r="W109" s="3">
        <v>42</v>
      </c>
    </row>
    <row r="110" spans="1:23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24</v>
      </c>
      <c r="F110" s="3" t="s">
        <v>25</v>
      </c>
      <c r="G110" s="3" t="s">
        <v>25</v>
      </c>
      <c r="H110" s="3" t="s">
        <v>25</v>
      </c>
      <c r="I110" s="6">
        <v>44440</v>
      </c>
      <c r="J110" s="4">
        <v>0</v>
      </c>
      <c r="K110" s="4">
        <v>0</v>
      </c>
      <c r="L110" s="4">
        <v>821.30100000000004</v>
      </c>
      <c r="M110" s="4">
        <v>821.30100000000004</v>
      </c>
      <c r="N110" s="4">
        <v>821.30100000000004</v>
      </c>
      <c r="O110" s="4">
        <v>821.30100000000004</v>
      </c>
      <c r="P110" s="4">
        <v>4410</v>
      </c>
      <c r="Q110" s="3" t="s">
        <v>26</v>
      </c>
      <c r="R110" s="3">
        <v>0</v>
      </c>
      <c r="S110" s="3" t="s">
        <v>127</v>
      </c>
      <c r="T110" s="3" t="s">
        <v>253</v>
      </c>
      <c r="U110" s="3">
        <v>0</v>
      </c>
      <c r="V110" s="3">
        <v>20</v>
      </c>
      <c r="W110" s="3">
        <v>51</v>
      </c>
    </row>
    <row r="111" spans="1:23" ht="11.25" customHeight="1" x14ac:dyDescent="0.25">
      <c r="A111" s="3" t="s">
        <v>27</v>
      </c>
      <c r="B111" s="3" t="s">
        <v>22</v>
      </c>
      <c r="C111" s="3" t="s">
        <v>23</v>
      </c>
      <c r="D111" s="3" t="s">
        <v>24</v>
      </c>
      <c r="E111" s="3" t="s">
        <v>24</v>
      </c>
      <c r="F111" s="3" t="s">
        <v>25</v>
      </c>
      <c r="G111" s="3" t="s">
        <v>25</v>
      </c>
      <c r="H111" s="3" t="s">
        <v>25</v>
      </c>
      <c r="I111" s="6">
        <v>44440</v>
      </c>
      <c r="J111" s="4">
        <v>0</v>
      </c>
      <c r="K111" s="4">
        <v>0</v>
      </c>
      <c r="L111" s="4">
        <v>-1.7869999999999999</v>
      </c>
      <c r="M111" s="4">
        <v>-1.7869999999999999</v>
      </c>
      <c r="N111" s="4">
        <v>-1.7869999999999999</v>
      </c>
      <c r="O111" s="4">
        <v>-1.7869999999999999</v>
      </c>
      <c r="P111" s="4">
        <v>0</v>
      </c>
      <c r="Q111" s="3" t="s">
        <v>26</v>
      </c>
      <c r="R111" s="3">
        <v>0</v>
      </c>
      <c r="S111" s="3" t="s">
        <v>127</v>
      </c>
      <c r="T111" s="3" t="s">
        <v>253</v>
      </c>
      <c r="U111" s="3">
        <v>0</v>
      </c>
      <c r="V111" s="3">
        <v>20</v>
      </c>
      <c r="W111" s="3">
        <v>51</v>
      </c>
    </row>
    <row r="112" spans="1:23" ht="11.25" customHeight="1" x14ac:dyDescent="0.25">
      <c r="A112" s="3" t="s">
        <v>28</v>
      </c>
      <c r="B112" s="3" t="s">
        <v>22</v>
      </c>
      <c r="C112" s="3" t="s">
        <v>23</v>
      </c>
      <c r="D112" s="3" t="s">
        <v>24</v>
      </c>
      <c r="E112" s="3" t="s">
        <v>24</v>
      </c>
      <c r="F112" s="3" t="s">
        <v>25</v>
      </c>
      <c r="G112" s="3" t="s">
        <v>25</v>
      </c>
      <c r="H112" s="3" t="s">
        <v>25</v>
      </c>
      <c r="I112" s="6">
        <v>44440</v>
      </c>
      <c r="J112" s="4">
        <v>0</v>
      </c>
      <c r="K112" s="4">
        <v>0</v>
      </c>
      <c r="L112" s="4">
        <v>8.6</v>
      </c>
      <c r="M112" s="4">
        <v>8.6</v>
      </c>
      <c r="N112" s="4">
        <v>8.6</v>
      </c>
      <c r="O112" s="4">
        <v>8.6</v>
      </c>
      <c r="P112" s="4">
        <v>59</v>
      </c>
      <c r="Q112" s="3" t="s">
        <v>26</v>
      </c>
      <c r="R112" s="3">
        <v>0</v>
      </c>
      <c r="S112" s="3" t="s">
        <v>127</v>
      </c>
      <c r="T112" s="3" t="s">
        <v>253</v>
      </c>
      <c r="U112" s="3">
        <v>0</v>
      </c>
      <c r="V112" s="3">
        <v>20</v>
      </c>
      <c r="W112" s="3">
        <v>51</v>
      </c>
    </row>
    <row r="113" spans="1:23" ht="11.25" customHeight="1" x14ac:dyDescent="0.25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24</v>
      </c>
      <c r="F113" s="3" t="s">
        <v>25</v>
      </c>
      <c r="G113" s="3" t="s">
        <v>25</v>
      </c>
      <c r="H113" s="3" t="s">
        <v>25</v>
      </c>
      <c r="I113" s="6">
        <v>44470</v>
      </c>
      <c r="J113" s="4">
        <v>0</v>
      </c>
      <c r="K113" s="4">
        <v>0</v>
      </c>
      <c r="L113" s="4">
        <v>703.47500000000002</v>
      </c>
      <c r="M113" s="4">
        <v>703.47500000000002</v>
      </c>
      <c r="N113" s="4">
        <v>703.47500000000002</v>
      </c>
      <c r="O113" s="4">
        <v>703.47500000000002</v>
      </c>
      <c r="P113" s="4">
        <v>4424</v>
      </c>
      <c r="Q113" s="3" t="s">
        <v>26</v>
      </c>
      <c r="R113" s="3">
        <v>0</v>
      </c>
      <c r="S113" s="3" t="s">
        <v>128</v>
      </c>
      <c r="T113" s="3" t="s">
        <v>254</v>
      </c>
      <c r="U113" s="3">
        <v>0</v>
      </c>
      <c r="V113" s="3">
        <v>20</v>
      </c>
      <c r="W113" s="3">
        <v>51</v>
      </c>
    </row>
    <row r="114" spans="1:23" ht="11.25" customHeight="1" x14ac:dyDescent="0.25">
      <c r="A114" s="3" t="s">
        <v>28</v>
      </c>
      <c r="B114" s="3" t="s">
        <v>22</v>
      </c>
      <c r="C114" s="3" t="s">
        <v>23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25</v>
      </c>
      <c r="I114" s="6">
        <v>44470</v>
      </c>
      <c r="J114" s="4">
        <v>0</v>
      </c>
      <c r="K114" s="4">
        <v>0</v>
      </c>
      <c r="L114" s="4">
        <v>9.7889999999999997</v>
      </c>
      <c r="M114" s="4">
        <v>9.7889999999999997</v>
      </c>
      <c r="N114" s="4">
        <v>9.7889999999999997</v>
      </c>
      <c r="O114" s="4">
        <v>9.7889999999999997</v>
      </c>
      <c r="P114" s="4">
        <v>62</v>
      </c>
      <c r="Q114" s="3" t="s">
        <v>26</v>
      </c>
      <c r="R114" s="3">
        <v>0</v>
      </c>
      <c r="S114" s="3" t="s">
        <v>128</v>
      </c>
      <c r="T114" s="3" t="s">
        <v>254</v>
      </c>
      <c r="U114" s="3">
        <v>0</v>
      </c>
      <c r="V114" s="3">
        <v>20</v>
      </c>
      <c r="W114" s="3">
        <v>51</v>
      </c>
    </row>
    <row r="115" spans="1:23" ht="11.25" customHeight="1" x14ac:dyDescent="0.2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24</v>
      </c>
      <c r="F115" s="3" t="s">
        <v>25</v>
      </c>
      <c r="G115" s="3" t="s">
        <v>25</v>
      </c>
      <c r="H115" s="3" t="s">
        <v>25</v>
      </c>
      <c r="I115" s="6">
        <v>44501</v>
      </c>
      <c r="J115" s="4">
        <v>0</v>
      </c>
      <c r="K115" s="4">
        <v>0</v>
      </c>
      <c r="L115" s="4">
        <v>801.90200000000004</v>
      </c>
      <c r="M115" s="4">
        <v>801.90200000000004</v>
      </c>
      <c r="N115" s="4">
        <v>801.90200000000004</v>
      </c>
      <c r="O115" s="4">
        <v>801.90200000000004</v>
      </c>
      <c r="P115" s="4">
        <v>4427</v>
      </c>
      <c r="Q115" s="3" t="s">
        <v>26</v>
      </c>
      <c r="R115" s="3">
        <v>0</v>
      </c>
      <c r="S115" s="3" t="s">
        <v>129</v>
      </c>
      <c r="T115" s="3" t="s">
        <v>255</v>
      </c>
      <c r="U115" s="3">
        <v>0</v>
      </c>
      <c r="V115" s="3">
        <v>20</v>
      </c>
      <c r="W115" s="3">
        <v>51</v>
      </c>
    </row>
    <row r="116" spans="1:23" ht="11.25" customHeight="1" x14ac:dyDescent="0.25">
      <c r="A116" s="3" t="s">
        <v>27</v>
      </c>
      <c r="B116" s="3" t="s">
        <v>22</v>
      </c>
      <c r="C116" s="3" t="s">
        <v>23</v>
      </c>
      <c r="D116" s="3" t="s">
        <v>24</v>
      </c>
      <c r="E116" s="3" t="s">
        <v>24</v>
      </c>
      <c r="F116" s="3" t="s">
        <v>25</v>
      </c>
      <c r="G116" s="3" t="s">
        <v>25</v>
      </c>
      <c r="H116" s="3" t="s">
        <v>25</v>
      </c>
      <c r="I116" s="6">
        <v>44501</v>
      </c>
      <c r="J116" s="4">
        <v>0</v>
      </c>
      <c r="K116" s="4">
        <v>0</v>
      </c>
      <c r="L116" s="4">
        <v>-0.185</v>
      </c>
      <c r="M116" s="4">
        <v>-0.185</v>
      </c>
      <c r="N116" s="4">
        <v>-0.185</v>
      </c>
      <c r="O116" s="4">
        <v>-0.185</v>
      </c>
      <c r="P116" s="4">
        <v>0</v>
      </c>
      <c r="Q116" s="3" t="s">
        <v>26</v>
      </c>
      <c r="R116" s="3">
        <v>0</v>
      </c>
      <c r="S116" s="3" t="s">
        <v>129</v>
      </c>
      <c r="T116" s="3" t="s">
        <v>255</v>
      </c>
      <c r="U116" s="3">
        <v>0</v>
      </c>
      <c r="V116" s="3">
        <v>20</v>
      </c>
      <c r="W116" s="3">
        <v>51</v>
      </c>
    </row>
    <row r="117" spans="1:23" ht="11.25" customHeight="1" x14ac:dyDescent="0.25">
      <c r="A117" s="3" t="s">
        <v>28</v>
      </c>
      <c r="B117" s="3" t="s">
        <v>22</v>
      </c>
      <c r="C117" s="3" t="s">
        <v>23</v>
      </c>
      <c r="D117" s="3" t="s">
        <v>24</v>
      </c>
      <c r="E117" s="3" t="s">
        <v>24</v>
      </c>
      <c r="F117" s="3" t="s">
        <v>25</v>
      </c>
      <c r="G117" s="3" t="s">
        <v>25</v>
      </c>
      <c r="H117" s="3" t="s">
        <v>25</v>
      </c>
      <c r="I117" s="6">
        <v>44501</v>
      </c>
      <c r="J117" s="4">
        <v>0</v>
      </c>
      <c r="K117" s="4">
        <v>0</v>
      </c>
      <c r="L117" s="4">
        <v>10.048999999999999</v>
      </c>
      <c r="M117" s="4">
        <v>10.048999999999999</v>
      </c>
      <c r="N117" s="4">
        <v>10.048999999999999</v>
      </c>
      <c r="O117" s="4">
        <v>10.048999999999999</v>
      </c>
      <c r="P117" s="4">
        <v>67</v>
      </c>
      <c r="Q117" s="3" t="s">
        <v>26</v>
      </c>
      <c r="R117" s="3">
        <v>0</v>
      </c>
      <c r="S117" s="3" t="s">
        <v>129</v>
      </c>
      <c r="T117" s="3" t="s">
        <v>255</v>
      </c>
      <c r="U117" s="3">
        <v>0</v>
      </c>
      <c r="V117" s="3">
        <v>20</v>
      </c>
      <c r="W117" s="3">
        <v>51</v>
      </c>
    </row>
    <row r="118" spans="1:23" ht="11.25" customHeight="1" x14ac:dyDescent="0.25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24</v>
      </c>
      <c r="F118" s="3" t="s">
        <v>25</v>
      </c>
      <c r="G118" s="3" t="s">
        <v>25</v>
      </c>
      <c r="H118" s="3" t="s">
        <v>25</v>
      </c>
      <c r="I118" s="6">
        <v>44531</v>
      </c>
      <c r="J118" s="4">
        <v>0</v>
      </c>
      <c r="K118" s="4">
        <v>0</v>
      </c>
      <c r="L118" s="4">
        <v>929.83199999999999</v>
      </c>
      <c r="M118" s="4">
        <v>929.83199999999999</v>
      </c>
      <c r="N118" s="4">
        <v>929.83199999999999</v>
      </c>
      <c r="O118" s="4">
        <v>929.83199999999999</v>
      </c>
      <c r="P118" s="4">
        <v>4413</v>
      </c>
      <c r="Q118" s="3" t="s">
        <v>26</v>
      </c>
      <c r="R118" s="3">
        <v>0</v>
      </c>
      <c r="S118" s="3" t="s">
        <v>130</v>
      </c>
      <c r="T118" s="3" t="s">
        <v>256</v>
      </c>
      <c r="U118" s="3">
        <v>0</v>
      </c>
      <c r="V118" s="3">
        <v>20</v>
      </c>
      <c r="W118" s="3">
        <v>51</v>
      </c>
    </row>
    <row r="119" spans="1:23" ht="11.25" customHeight="1" x14ac:dyDescent="0.25">
      <c r="A119" s="3" t="s">
        <v>27</v>
      </c>
      <c r="B119" s="3" t="s">
        <v>22</v>
      </c>
      <c r="C119" s="3" t="s">
        <v>23</v>
      </c>
      <c r="D119" s="3" t="s">
        <v>24</v>
      </c>
      <c r="E119" s="3" t="s">
        <v>24</v>
      </c>
      <c r="F119" s="3" t="s">
        <v>25</v>
      </c>
      <c r="G119" s="3" t="s">
        <v>25</v>
      </c>
      <c r="H119" s="3" t="s">
        <v>25</v>
      </c>
      <c r="I119" s="6">
        <v>44531</v>
      </c>
      <c r="J119" s="4">
        <v>0</v>
      </c>
      <c r="K119" s="4">
        <v>0</v>
      </c>
      <c r="L119" s="4">
        <v>-0.21099999999999999</v>
      </c>
      <c r="M119" s="4">
        <v>-0.21099999999999999</v>
      </c>
      <c r="N119" s="4">
        <v>-0.21099999999999999</v>
      </c>
      <c r="O119" s="4">
        <v>-0.21099999999999999</v>
      </c>
      <c r="P119" s="4">
        <v>0</v>
      </c>
      <c r="Q119" s="3" t="s">
        <v>26</v>
      </c>
      <c r="R119" s="3">
        <v>0</v>
      </c>
      <c r="S119" s="3" t="s">
        <v>130</v>
      </c>
      <c r="T119" s="3" t="s">
        <v>256</v>
      </c>
      <c r="U119" s="3">
        <v>0</v>
      </c>
      <c r="V119" s="3">
        <v>20</v>
      </c>
      <c r="W119" s="3">
        <v>51</v>
      </c>
    </row>
    <row r="120" spans="1:23" ht="11.25" customHeight="1" x14ac:dyDescent="0.25">
      <c r="A120" s="3" t="s">
        <v>28</v>
      </c>
      <c r="B120" s="3" t="s">
        <v>22</v>
      </c>
      <c r="C120" s="3" t="s">
        <v>23</v>
      </c>
      <c r="D120" s="3" t="s">
        <v>24</v>
      </c>
      <c r="E120" s="3" t="s">
        <v>24</v>
      </c>
      <c r="F120" s="3" t="s">
        <v>25</v>
      </c>
      <c r="G120" s="3" t="s">
        <v>25</v>
      </c>
      <c r="H120" s="3" t="s">
        <v>25</v>
      </c>
      <c r="I120" s="6">
        <v>44531</v>
      </c>
      <c r="J120" s="4">
        <v>0</v>
      </c>
      <c r="K120" s="4">
        <v>0</v>
      </c>
      <c r="L120" s="4">
        <v>10.661</v>
      </c>
      <c r="M120" s="4">
        <v>10.661</v>
      </c>
      <c r="N120" s="4">
        <v>10.661</v>
      </c>
      <c r="O120" s="4">
        <v>10.661</v>
      </c>
      <c r="P120" s="4">
        <v>74</v>
      </c>
      <c r="Q120" s="3" t="s">
        <v>26</v>
      </c>
      <c r="R120" s="3">
        <v>0</v>
      </c>
      <c r="S120" s="3" t="s">
        <v>130</v>
      </c>
      <c r="T120" s="3" t="s">
        <v>256</v>
      </c>
      <c r="U120" s="3">
        <v>0</v>
      </c>
      <c r="V120" s="3">
        <v>20</v>
      </c>
      <c r="W120" s="3">
        <v>51</v>
      </c>
    </row>
    <row r="121" spans="1:23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44562</v>
      </c>
      <c r="J121" s="4">
        <v>0</v>
      </c>
      <c r="K121" s="4">
        <v>0</v>
      </c>
      <c r="L121" s="4">
        <v>1074.8579999999999</v>
      </c>
      <c r="M121" s="4">
        <v>1074.8579999999999</v>
      </c>
      <c r="N121" s="4">
        <v>1074.8579999999999</v>
      </c>
      <c r="O121" s="4">
        <v>1074.8579999999999</v>
      </c>
      <c r="P121" s="4">
        <v>4419</v>
      </c>
      <c r="Q121" s="3" t="s">
        <v>26</v>
      </c>
      <c r="R121" s="3">
        <v>0</v>
      </c>
      <c r="S121" s="3" t="s">
        <v>131</v>
      </c>
      <c r="T121" s="3" t="s">
        <v>257</v>
      </c>
      <c r="U121" s="3">
        <v>0</v>
      </c>
      <c r="V121" s="3">
        <v>20</v>
      </c>
      <c r="W121" s="3">
        <v>51</v>
      </c>
    </row>
    <row r="122" spans="1:23" ht="11.25" customHeight="1" x14ac:dyDescent="0.25">
      <c r="A122" s="3" t="s">
        <v>27</v>
      </c>
      <c r="B122" s="3" t="s">
        <v>22</v>
      </c>
      <c r="C122" s="3" t="s">
        <v>23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44562</v>
      </c>
      <c r="J122" s="4">
        <v>0</v>
      </c>
      <c r="K122" s="4">
        <v>0</v>
      </c>
      <c r="L122" s="4">
        <v>-0.26900000000000002</v>
      </c>
      <c r="M122" s="4">
        <v>-0.26900000000000002</v>
      </c>
      <c r="N122" s="4">
        <v>-0.26900000000000002</v>
      </c>
      <c r="O122" s="4">
        <v>-0.26900000000000002</v>
      </c>
      <c r="P122" s="4">
        <v>0</v>
      </c>
      <c r="Q122" s="3" t="s">
        <v>26</v>
      </c>
      <c r="R122" s="3">
        <v>0</v>
      </c>
      <c r="S122" s="3" t="s">
        <v>131</v>
      </c>
      <c r="T122" s="3" t="s">
        <v>257</v>
      </c>
      <c r="U122" s="3">
        <v>0</v>
      </c>
      <c r="V122" s="3">
        <v>20</v>
      </c>
      <c r="W122" s="3">
        <v>51</v>
      </c>
    </row>
    <row r="123" spans="1:23" ht="11.25" customHeight="1" x14ac:dyDescent="0.25">
      <c r="A123" s="3" t="s">
        <v>28</v>
      </c>
      <c r="B123" s="3" t="s">
        <v>22</v>
      </c>
      <c r="C123" s="3" t="s">
        <v>23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44562</v>
      </c>
      <c r="J123" s="4">
        <v>0</v>
      </c>
      <c r="K123" s="4">
        <v>0</v>
      </c>
      <c r="L123" s="4">
        <v>11.298999999999999</v>
      </c>
      <c r="M123" s="4">
        <v>11.298999999999999</v>
      </c>
      <c r="N123" s="4">
        <v>11.298999999999999</v>
      </c>
      <c r="O123" s="4">
        <v>11.298999999999999</v>
      </c>
      <c r="P123" s="4">
        <v>76</v>
      </c>
      <c r="Q123" s="3" t="s">
        <v>26</v>
      </c>
      <c r="R123" s="3">
        <v>0</v>
      </c>
      <c r="S123" s="3" t="s">
        <v>131</v>
      </c>
      <c r="T123" s="3" t="s">
        <v>257</v>
      </c>
      <c r="U123" s="3">
        <v>0</v>
      </c>
      <c r="V123" s="3">
        <v>20</v>
      </c>
      <c r="W123" s="3">
        <v>51</v>
      </c>
    </row>
    <row r="124" spans="1:23" ht="11.25" customHeight="1" x14ac:dyDescent="0.25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44593</v>
      </c>
      <c r="J124" s="4">
        <v>0</v>
      </c>
      <c r="K124" s="4">
        <v>0</v>
      </c>
      <c r="L124" s="4">
        <v>872.83299999999997</v>
      </c>
      <c r="M124" s="4">
        <v>872.83299999999997</v>
      </c>
      <c r="N124" s="4">
        <v>872.83299999999997</v>
      </c>
      <c r="O124" s="4">
        <v>872.83299999999997</v>
      </c>
      <c r="P124" s="4">
        <v>4239</v>
      </c>
      <c r="Q124" s="3" t="s">
        <v>26</v>
      </c>
      <c r="R124" s="3">
        <v>0</v>
      </c>
      <c r="S124" s="3" t="s">
        <v>132</v>
      </c>
      <c r="T124" s="3" t="s">
        <v>258</v>
      </c>
      <c r="U124" s="3">
        <v>0</v>
      </c>
      <c r="V124" s="3">
        <v>20</v>
      </c>
      <c r="W124" s="3">
        <v>51</v>
      </c>
    </row>
    <row r="125" spans="1:23" ht="11.25" customHeight="1" x14ac:dyDescent="0.25">
      <c r="A125" s="3" t="s">
        <v>27</v>
      </c>
      <c r="B125" s="3" t="s">
        <v>22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-0.16500000000000001</v>
      </c>
      <c r="M125" s="4">
        <v>-0.16500000000000001</v>
      </c>
      <c r="N125" s="4">
        <v>-0.16500000000000001</v>
      </c>
      <c r="O125" s="4">
        <v>-0.16500000000000001</v>
      </c>
      <c r="P125" s="4">
        <v>0</v>
      </c>
      <c r="Q125" s="3" t="s">
        <v>26</v>
      </c>
      <c r="R125" s="3">
        <v>0</v>
      </c>
      <c r="S125" s="3" t="s">
        <v>132</v>
      </c>
      <c r="T125" s="3" t="s">
        <v>258</v>
      </c>
      <c r="U125" s="3">
        <v>0</v>
      </c>
      <c r="V125" s="3">
        <v>20</v>
      </c>
      <c r="W125" s="3">
        <v>51</v>
      </c>
    </row>
    <row r="126" spans="1:23" ht="11.25" customHeight="1" x14ac:dyDescent="0.25">
      <c r="A126" s="3" t="s">
        <v>28</v>
      </c>
      <c r="B126" s="3" t="s">
        <v>22</v>
      </c>
      <c r="C126" s="3" t="s">
        <v>23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44593</v>
      </c>
      <c r="J126" s="4">
        <v>0</v>
      </c>
      <c r="K126" s="4">
        <v>0</v>
      </c>
      <c r="L126" s="4">
        <v>9.9290000000000003</v>
      </c>
      <c r="M126" s="4">
        <v>9.9290000000000003</v>
      </c>
      <c r="N126" s="4">
        <v>9.9290000000000003</v>
      </c>
      <c r="O126" s="4">
        <v>9.9290000000000003</v>
      </c>
      <c r="P126" s="4">
        <v>82</v>
      </c>
      <c r="Q126" s="3" t="s">
        <v>26</v>
      </c>
      <c r="R126" s="3">
        <v>0</v>
      </c>
      <c r="S126" s="3" t="s">
        <v>132</v>
      </c>
      <c r="T126" s="3" t="s">
        <v>258</v>
      </c>
      <c r="U126" s="3">
        <v>0</v>
      </c>
      <c r="V126" s="3">
        <v>20</v>
      </c>
      <c r="W126" s="3">
        <v>51</v>
      </c>
    </row>
    <row r="127" spans="1:23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892.02800000000002</v>
      </c>
      <c r="M127" s="4">
        <v>892.02800000000002</v>
      </c>
      <c r="N127" s="4">
        <v>892.02800000000002</v>
      </c>
      <c r="O127" s="4">
        <v>892.02800000000002</v>
      </c>
      <c r="P127" s="4">
        <v>4216</v>
      </c>
      <c r="Q127" s="3" t="s">
        <v>26</v>
      </c>
      <c r="R127" s="3">
        <v>0</v>
      </c>
      <c r="S127" s="3" t="s">
        <v>133</v>
      </c>
      <c r="T127" s="3" t="s">
        <v>259</v>
      </c>
      <c r="U127" s="3">
        <v>0</v>
      </c>
      <c r="V127" s="3">
        <v>20</v>
      </c>
      <c r="W127" s="3">
        <v>51</v>
      </c>
    </row>
    <row r="128" spans="1:23" ht="11.25" customHeight="1" x14ac:dyDescent="0.25">
      <c r="A128" s="3" t="s">
        <v>28</v>
      </c>
      <c r="B128" s="3" t="s">
        <v>22</v>
      </c>
      <c r="C128" s="3" t="s">
        <v>23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44621</v>
      </c>
      <c r="J128" s="4">
        <v>0</v>
      </c>
      <c r="K128" s="4">
        <v>0</v>
      </c>
      <c r="L128" s="4">
        <v>15.045</v>
      </c>
      <c r="M128" s="4">
        <v>15.045</v>
      </c>
      <c r="N128" s="4">
        <v>15.045</v>
      </c>
      <c r="O128" s="4">
        <v>15.045</v>
      </c>
      <c r="P128" s="4">
        <v>88</v>
      </c>
      <c r="Q128" s="3" t="s">
        <v>26</v>
      </c>
      <c r="R128" s="3">
        <v>0</v>
      </c>
      <c r="S128" s="3" t="s">
        <v>133</v>
      </c>
      <c r="T128" s="3" t="s">
        <v>259</v>
      </c>
      <c r="U128" s="3">
        <v>0</v>
      </c>
      <c r="V128" s="3">
        <v>20</v>
      </c>
      <c r="W128" s="3">
        <v>51</v>
      </c>
    </row>
    <row r="129" spans="1:23" ht="11.25" customHeight="1" x14ac:dyDescent="0.25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44652</v>
      </c>
      <c r="J129" s="4">
        <v>0</v>
      </c>
      <c r="K129" s="4">
        <v>0</v>
      </c>
      <c r="L129" s="4">
        <v>788.63800000000003</v>
      </c>
      <c r="M129" s="4">
        <v>788.63800000000003</v>
      </c>
      <c r="N129" s="4">
        <v>788.63800000000003</v>
      </c>
      <c r="O129" s="4">
        <v>788.63800000000003</v>
      </c>
      <c r="P129" s="4">
        <v>4246</v>
      </c>
      <c r="Q129" s="3" t="s">
        <v>26</v>
      </c>
      <c r="R129" s="3">
        <v>0</v>
      </c>
      <c r="S129" s="3" t="s">
        <v>134</v>
      </c>
      <c r="T129" s="3" t="s">
        <v>260</v>
      </c>
      <c r="U129" s="3">
        <v>0</v>
      </c>
      <c r="V129" s="3">
        <v>20</v>
      </c>
      <c r="W129" s="3">
        <v>51</v>
      </c>
    </row>
    <row r="130" spans="1:23" ht="11.25" customHeight="1" x14ac:dyDescent="0.25">
      <c r="A130" s="3" t="s">
        <v>27</v>
      </c>
      <c r="B130" s="3" t="s">
        <v>22</v>
      </c>
      <c r="C130" s="3" t="s">
        <v>23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44652</v>
      </c>
      <c r="J130" s="4">
        <v>0</v>
      </c>
      <c r="K130" s="4">
        <v>0</v>
      </c>
      <c r="L130" s="4">
        <v>-0.25600000000000001</v>
      </c>
      <c r="M130" s="4">
        <v>-0.25600000000000001</v>
      </c>
      <c r="N130" s="4">
        <v>-0.25600000000000001</v>
      </c>
      <c r="O130" s="4">
        <v>-0.25600000000000001</v>
      </c>
      <c r="P130" s="4">
        <v>0</v>
      </c>
      <c r="Q130" s="3" t="s">
        <v>26</v>
      </c>
      <c r="R130" s="3">
        <v>0</v>
      </c>
      <c r="S130" s="3" t="s">
        <v>134</v>
      </c>
      <c r="T130" s="3" t="s">
        <v>260</v>
      </c>
      <c r="U130" s="3">
        <v>0</v>
      </c>
      <c r="V130" s="3">
        <v>20</v>
      </c>
      <c r="W130" s="3">
        <v>51</v>
      </c>
    </row>
    <row r="131" spans="1:23" ht="11.25" customHeight="1" x14ac:dyDescent="0.25">
      <c r="A131" s="3" t="s">
        <v>28</v>
      </c>
      <c r="B131" s="3" t="s">
        <v>22</v>
      </c>
      <c r="C131" s="3" t="s">
        <v>23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25</v>
      </c>
      <c r="I131" s="6">
        <v>44652</v>
      </c>
      <c r="J131" s="4">
        <v>0</v>
      </c>
      <c r="K131" s="4">
        <v>0</v>
      </c>
      <c r="L131" s="4">
        <v>11.39</v>
      </c>
      <c r="M131" s="4">
        <v>11.39</v>
      </c>
      <c r="N131" s="4">
        <v>11.39</v>
      </c>
      <c r="O131" s="4">
        <v>11.39</v>
      </c>
      <c r="P131" s="4">
        <v>87</v>
      </c>
      <c r="Q131" s="3" t="s">
        <v>26</v>
      </c>
      <c r="R131" s="3">
        <v>0</v>
      </c>
      <c r="S131" s="3" t="s">
        <v>134</v>
      </c>
      <c r="T131" s="3" t="s">
        <v>260</v>
      </c>
      <c r="U131" s="3">
        <v>0</v>
      </c>
      <c r="V131" s="3">
        <v>20</v>
      </c>
      <c r="W131" s="3">
        <v>51</v>
      </c>
    </row>
    <row r="132" spans="1:23" ht="11.25" customHeight="1" x14ac:dyDescent="0.25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25</v>
      </c>
      <c r="I132" s="6">
        <v>44682</v>
      </c>
      <c r="J132" s="4">
        <v>0</v>
      </c>
      <c r="K132" s="4">
        <v>0</v>
      </c>
      <c r="L132" s="4">
        <v>744.77099999999996</v>
      </c>
      <c r="M132" s="4">
        <v>744.77099999999996</v>
      </c>
      <c r="N132" s="4">
        <v>744.77099999999996</v>
      </c>
      <c r="O132" s="4">
        <v>744.77099999999996</v>
      </c>
      <c r="P132" s="4">
        <v>4264</v>
      </c>
      <c r="Q132" s="3" t="s">
        <v>26</v>
      </c>
      <c r="R132" s="3">
        <v>0</v>
      </c>
      <c r="S132" s="3" t="s">
        <v>135</v>
      </c>
      <c r="T132" s="3" t="s">
        <v>261</v>
      </c>
      <c r="U132" s="3">
        <v>0</v>
      </c>
      <c r="V132" s="3">
        <v>20</v>
      </c>
      <c r="W132" s="3">
        <v>51</v>
      </c>
    </row>
    <row r="133" spans="1:23" ht="11.25" customHeight="1" x14ac:dyDescent="0.25">
      <c r="A133" s="3" t="s">
        <v>27</v>
      </c>
      <c r="B133" s="3" t="s">
        <v>22</v>
      </c>
      <c r="C133" s="3" t="s">
        <v>23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25</v>
      </c>
      <c r="I133" s="6">
        <v>44682</v>
      </c>
      <c r="J133" s="4">
        <v>0</v>
      </c>
      <c r="K133" s="4">
        <v>0</v>
      </c>
      <c r="L133" s="4">
        <v>-0.29299999999999998</v>
      </c>
      <c r="M133" s="4">
        <v>-0.29299999999999998</v>
      </c>
      <c r="N133" s="4">
        <v>-0.29299999999999998</v>
      </c>
      <c r="O133" s="4">
        <v>-0.29299999999999998</v>
      </c>
      <c r="P133" s="4">
        <v>0</v>
      </c>
      <c r="Q133" s="3" t="s">
        <v>26</v>
      </c>
      <c r="R133" s="3">
        <v>0</v>
      </c>
      <c r="S133" s="3" t="s">
        <v>135</v>
      </c>
      <c r="T133" s="3" t="s">
        <v>261</v>
      </c>
      <c r="U133" s="3">
        <v>0</v>
      </c>
      <c r="V133" s="3">
        <v>20</v>
      </c>
      <c r="W133" s="3">
        <v>51</v>
      </c>
    </row>
    <row r="134" spans="1:23" ht="11.25" customHeight="1" x14ac:dyDescent="0.25">
      <c r="A134" s="3" t="s">
        <v>28</v>
      </c>
      <c r="B134" s="3" t="s">
        <v>22</v>
      </c>
      <c r="C134" s="3" t="s">
        <v>23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25</v>
      </c>
      <c r="I134" s="6">
        <v>44682</v>
      </c>
      <c r="J134" s="4">
        <v>0</v>
      </c>
      <c r="K134" s="4">
        <v>0</v>
      </c>
      <c r="L134" s="4">
        <v>12.811999999999999</v>
      </c>
      <c r="M134" s="4">
        <v>12.811999999999999</v>
      </c>
      <c r="N134" s="4">
        <v>12.811999999999999</v>
      </c>
      <c r="O134" s="4">
        <v>12.811999999999999</v>
      </c>
      <c r="P134" s="4">
        <v>96</v>
      </c>
      <c r="Q134" s="3" t="s">
        <v>26</v>
      </c>
      <c r="R134" s="3">
        <v>0</v>
      </c>
      <c r="S134" s="3" t="s">
        <v>135</v>
      </c>
      <c r="T134" s="3" t="s">
        <v>261</v>
      </c>
      <c r="U134" s="3">
        <v>0</v>
      </c>
      <c r="V134" s="3">
        <v>20</v>
      </c>
      <c r="W134" s="3">
        <v>51</v>
      </c>
    </row>
    <row r="135" spans="1:23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25</v>
      </c>
      <c r="I135" s="6">
        <v>44713</v>
      </c>
      <c r="J135" s="4">
        <v>0</v>
      </c>
      <c r="K135" s="4">
        <v>0</v>
      </c>
      <c r="L135" s="4">
        <v>835.13599999999997</v>
      </c>
      <c r="M135" s="4">
        <v>835.13599999999997</v>
      </c>
      <c r="N135" s="4">
        <v>835.13599999999997</v>
      </c>
      <c r="O135" s="4">
        <v>835.13599999999997</v>
      </c>
      <c r="P135" s="4">
        <v>4321</v>
      </c>
      <c r="Q135" s="3" t="s">
        <v>26</v>
      </c>
      <c r="R135" s="3">
        <v>0</v>
      </c>
      <c r="S135" s="3" t="s">
        <v>136</v>
      </c>
      <c r="T135" s="3" t="s">
        <v>262</v>
      </c>
      <c r="U135" s="3">
        <v>0</v>
      </c>
      <c r="V135" s="3">
        <v>20</v>
      </c>
      <c r="W135" s="3">
        <v>51</v>
      </c>
    </row>
    <row r="136" spans="1:23" ht="11.25" customHeight="1" x14ac:dyDescent="0.25">
      <c r="A136" s="3" t="s">
        <v>27</v>
      </c>
      <c r="B136" s="3" t="s">
        <v>22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25</v>
      </c>
      <c r="I136" s="6">
        <v>44713</v>
      </c>
      <c r="J136" s="4">
        <v>0</v>
      </c>
      <c r="K136" s="4">
        <v>0</v>
      </c>
      <c r="L136" s="4">
        <v>-0.499</v>
      </c>
      <c r="M136" s="4">
        <v>-0.499</v>
      </c>
      <c r="N136" s="4">
        <v>-0.499</v>
      </c>
      <c r="O136" s="4">
        <v>-0.499</v>
      </c>
      <c r="P136" s="4">
        <v>0</v>
      </c>
      <c r="Q136" s="3" t="s">
        <v>26</v>
      </c>
      <c r="R136" s="3">
        <v>0</v>
      </c>
      <c r="S136" s="3" t="s">
        <v>136</v>
      </c>
      <c r="T136" s="3" t="s">
        <v>262</v>
      </c>
      <c r="U136" s="3">
        <v>0</v>
      </c>
      <c r="V136" s="3">
        <v>20</v>
      </c>
      <c r="W136" s="3">
        <v>51</v>
      </c>
    </row>
    <row r="137" spans="1:23" ht="11.25" customHeight="1" x14ac:dyDescent="0.25">
      <c r="A137" s="3" t="s">
        <v>28</v>
      </c>
      <c r="B137" s="3" t="s">
        <v>22</v>
      </c>
      <c r="C137" s="3" t="s">
        <v>23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25</v>
      </c>
      <c r="I137" s="6">
        <v>44713</v>
      </c>
      <c r="J137" s="4">
        <v>0</v>
      </c>
      <c r="K137" s="4">
        <v>0</v>
      </c>
      <c r="L137" s="4">
        <v>21.777999999999999</v>
      </c>
      <c r="M137" s="4">
        <v>21.777999999999999</v>
      </c>
      <c r="N137" s="4">
        <v>21.777999999999999</v>
      </c>
      <c r="O137" s="4">
        <v>21.777999999999999</v>
      </c>
      <c r="P137" s="4">
        <v>99</v>
      </c>
      <c r="Q137" s="3" t="s">
        <v>26</v>
      </c>
      <c r="R137" s="3">
        <v>0</v>
      </c>
      <c r="S137" s="3" t="s">
        <v>136</v>
      </c>
      <c r="T137" s="3" t="s">
        <v>262</v>
      </c>
      <c r="U137" s="3">
        <v>0</v>
      </c>
      <c r="V137" s="3">
        <v>20</v>
      </c>
      <c r="W137" s="3">
        <v>51</v>
      </c>
    </row>
    <row r="138" spans="1:23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25</v>
      </c>
      <c r="I138" s="6">
        <v>44743</v>
      </c>
      <c r="J138" s="4">
        <v>0</v>
      </c>
      <c r="K138" s="4">
        <v>0</v>
      </c>
      <c r="L138" s="4">
        <v>714.19799999999998</v>
      </c>
      <c r="M138" s="4">
        <v>714.19799999999998</v>
      </c>
      <c r="N138" s="4">
        <v>714.19799999999998</v>
      </c>
      <c r="O138" s="4">
        <v>714.19799999999998</v>
      </c>
      <c r="P138" s="4">
        <v>4383</v>
      </c>
      <c r="Q138" s="3" t="s">
        <v>26</v>
      </c>
      <c r="R138" s="3">
        <v>0</v>
      </c>
      <c r="S138" s="3" t="s">
        <v>137</v>
      </c>
      <c r="T138" s="3" t="s">
        <v>263</v>
      </c>
      <c r="U138" s="3">
        <v>0</v>
      </c>
      <c r="V138" s="3">
        <v>20</v>
      </c>
      <c r="W138" s="3">
        <v>51</v>
      </c>
    </row>
    <row r="139" spans="1:23" ht="11.25" customHeight="1" x14ac:dyDescent="0.25">
      <c r="A139" s="3" t="s">
        <v>28</v>
      </c>
      <c r="B139" s="3" t="s">
        <v>22</v>
      </c>
      <c r="C139" s="3" t="s">
        <v>23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25</v>
      </c>
      <c r="I139" s="6">
        <v>44743</v>
      </c>
      <c r="J139" s="4">
        <v>0</v>
      </c>
      <c r="K139" s="4">
        <v>0</v>
      </c>
      <c r="L139" s="4">
        <v>15.89</v>
      </c>
      <c r="M139" s="4">
        <v>15.89</v>
      </c>
      <c r="N139" s="4">
        <v>15.89</v>
      </c>
      <c r="O139" s="4">
        <v>15.89</v>
      </c>
      <c r="P139" s="4">
        <v>103</v>
      </c>
      <c r="Q139" s="3" t="s">
        <v>26</v>
      </c>
      <c r="R139" s="3">
        <v>0</v>
      </c>
      <c r="S139" s="3" t="s">
        <v>137</v>
      </c>
      <c r="T139" s="3" t="s">
        <v>263</v>
      </c>
      <c r="U139" s="3">
        <v>0</v>
      </c>
      <c r="V139" s="3">
        <v>20</v>
      </c>
      <c r="W139" s="3">
        <v>51</v>
      </c>
    </row>
    <row r="140" spans="1:23" ht="11.25" customHeight="1" x14ac:dyDescent="0.25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44774</v>
      </c>
      <c r="J140" s="4">
        <v>0</v>
      </c>
      <c r="K140" s="4">
        <v>0</v>
      </c>
      <c r="L140" s="4">
        <v>793.97900000000004</v>
      </c>
      <c r="M140" s="4">
        <v>793.97900000000004</v>
      </c>
      <c r="N140" s="4">
        <v>793.97900000000004</v>
      </c>
      <c r="O140" s="4">
        <v>793.97900000000004</v>
      </c>
      <c r="P140" s="4">
        <v>4383</v>
      </c>
      <c r="Q140" s="3" t="s">
        <v>26</v>
      </c>
      <c r="R140" s="3">
        <v>0</v>
      </c>
      <c r="S140" s="3" t="s">
        <v>138</v>
      </c>
      <c r="T140" s="3" t="s">
        <v>264</v>
      </c>
      <c r="U140" s="3">
        <v>0</v>
      </c>
      <c r="V140" s="3">
        <v>20</v>
      </c>
      <c r="W140" s="3">
        <v>51</v>
      </c>
    </row>
    <row r="141" spans="1:23" ht="11.25" customHeight="1" x14ac:dyDescent="0.25">
      <c r="A141" s="3" t="s">
        <v>28</v>
      </c>
      <c r="B141" s="3" t="s">
        <v>22</v>
      </c>
      <c r="C141" s="3" t="s">
        <v>23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44774</v>
      </c>
      <c r="J141" s="4">
        <v>0</v>
      </c>
      <c r="K141" s="4">
        <v>0</v>
      </c>
      <c r="L141" s="4">
        <v>15.532999999999999</v>
      </c>
      <c r="M141" s="4">
        <v>15.532999999999999</v>
      </c>
      <c r="N141" s="4">
        <v>15.532999999999999</v>
      </c>
      <c r="O141" s="4">
        <v>15.532999999999999</v>
      </c>
      <c r="P141" s="4">
        <v>112</v>
      </c>
      <c r="Q141" s="3" t="s">
        <v>26</v>
      </c>
      <c r="R141" s="3">
        <v>0</v>
      </c>
      <c r="S141" s="3" t="s">
        <v>138</v>
      </c>
      <c r="T141" s="3" t="s">
        <v>264</v>
      </c>
      <c r="U141" s="3">
        <v>0</v>
      </c>
      <c r="V141" s="3">
        <v>20</v>
      </c>
      <c r="W141" s="3">
        <v>51</v>
      </c>
    </row>
    <row r="142" spans="1:23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29</v>
      </c>
      <c r="F142" s="3" t="s">
        <v>25</v>
      </c>
      <c r="G142" s="3" t="s">
        <v>25</v>
      </c>
      <c r="H142" s="3" t="s">
        <v>25</v>
      </c>
      <c r="I142" s="6">
        <v>44440</v>
      </c>
      <c r="J142" s="4">
        <v>0</v>
      </c>
      <c r="K142" s="4">
        <v>0</v>
      </c>
      <c r="L142" s="4">
        <v>5.91</v>
      </c>
      <c r="M142" s="4">
        <v>5.91</v>
      </c>
      <c r="N142" s="4">
        <v>5.91</v>
      </c>
      <c r="O142" s="4">
        <v>5.91</v>
      </c>
      <c r="P142" s="4">
        <v>11</v>
      </c>
      <c r="Q142" s="3" t="s">
        <v>26</v>
      </c>
      <c r="R142" s="3">
        <v>0</v>
      </c>
      <c r="S142" s="3" t="s">
        <v>139</v>
      </c>
      <c r="T142" s="3" t="s">
        <v>265</v>
      </c>
      <c r="U142" s="3">
        <v>0</v>
      </c>
      <c r="V142" s="3">
        <v>8</v>
      </c>
      <c r="W142" s="3">
        <v>47</v>
      </c>
    </row>
    <row r="143" spans="1:23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29</v>
      </c>
      <c r="F143" s="3" t="s">
        <v>25</v>
      </c>
      <c r="G143" s="3" t="s">
        <v>25</v>
      </c>
      <c r="H143" s="3" t="s">
        <v>25</v>
      </c>
      <c r="I143" s="6">
        <v>44470</v>
      </c>
      <c r="J143" s="4">
        <v>0</v>
      </c>
      <c r="K143" s="4">
        <v>0</v>
      </c>
      <c r="L143" s="4">
        <v>5.97</v>
      </c>
      <c r="M143" s="4">
        <v>5.97</v>
      </c>
      <c r="N143" s="4">
        <v>5.97</v>
      </c>
      <c r="O143" s="4">
        <v>5.97</v>
      </c>
      <c r="P143" s="4">
        <v>14</v>
      </c>
      <c r="Q143" s="3" t="s">
        <v>26</v>
      </c>
      <c r="R143" s="3">
        <v>0</v>
      </c>
      <c r="S143" s="3" t="s">
        <v>140</v>
      </c>
      <c r="T143" s="3" t="s">
        <v>266</v>
      </c>
      <c r="U143" s="3">
        <v>0</v>
      </c>
      <c r="V143" s="3">
        <v>8</v>
      </c>
      <c r="W143" s="3">
        <v>47</v>
      </c>
    </row>
    <row r="144" spans="1:23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29</v>
      </c>
      <c r="F144" s="3" t="s">
        <v>25</v>
      </c>
      <c r="G144" s="3" t="s">
        <v>25</v>
      </c>
      <c r="H144" s="3" t="s">
        <v>25</v>
      </c>
      <c r="I144" s="6">
        <v>44501</v>
      </c>
      <c r="J144" s="4">
        <v>0</v>
      </c>
      <c r="K144" s="4">
        <v>0</v>
      </c>
      <c r="L144" s="4">
        <v>5.97</v>
      </c>
      <c r="M144" s="4">
        <v>5.97</v>
      </c>
      <c r="N144" s="4">
        <v>5.97</v>
      </c>
      <c r="O144" s="4">
        <v>5.97</v>
      </c>
      <c r="P144" s="4">
        <v>11</v>
      </c>
      <c r="Q144" s="3" t="s">
        <v>26</v>
      </c>
      <c r="R144" s="3">
        <v>0</v>
      </c>
      <c r="S144" s="3" t="s">
        <v>141</v>
      </c>
      <c r="T144" s="3" t="s">
        <v>267</v>
      </c>
      <c r="U144" s="3">
        <v>0</v>
      </c>
      <c r="V144" s="3">
        <v>8</v>
      </c>
      <c r="W144" s="3">
        <v>47</v>
      </c>
    </row>
    <row r="145" spans="1:2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29</v>
      </c>
      <c r="F145" s="3" t="s">
        <v>25</v>
      </c>
      <c r="G145" s="3" t="s">
        <v>25</v>
      </c>
      <c r="H145" s="3" t="s">
        <v>25</v>
      </c>
      <c r="I145" s="6">
        <v>44531</v>
      </c>
      <c r="J145" s="4">
        <v>0</v>
      </c>
      <c r="K145" s="4">
        <v>0</v>
      </c>
      <c r="L145" s="4">
        <v>6.3</v>
      </c>
      <c r="M145" s="4">
        <v>6.3</v>
      </c>
      <c r="N145" s="4">
        <v>6.3</v>
      </c>
      <c r="O145" s="4">
        <v>6.3</v>
      </c>
      <c r="P145" s="4">
        <v>8</v>
      </c>
      <c r="Q145" s="3" t="s">
        <v>26</v>
      </c>
      <c r="R145" s="3">
        <v>0</v>
      </c>
      <c r="S145" s="3" t="s">
        <v>142</v>
      </c>
      <c r="T145" s="3" t="s">
        <v>268</v>
      </c>
      <c r="U145" s="3">
        <v>0</v>
      </c>
      <c r="V145" s="3">
        <v>8</v>
      </c>
      <c r="W145" s="3">
        <v>47</v>
      </c>
    </row>
    <row r="146" spans="1:23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29</v>
      </c>
      <c r="F146" s="3" t="s">
        <v>25</v>
      </c>
      <c r="G146" s="3" t="s">
        <v>25</v>
      </c>
      <c r="H146" s="3" t="s">
        <v>25</v>
      </c>
      <c r="I146" s="6">
        <v>44562</v>
      </c>
      <c r="J146" s="4">
        <v>0</v>
      </c>
      <c r="K146" s="4">
        <v>0</v>
      </c>
      <c r="L146" s="4">
        <v>6.39</v>
      </c>
      <c r="M146" s="4">
        <v>6.39</v>
      </c>
      <c r="N146" s="4">
        <v>6.39</v>
      </c>
      <c r="O146" s="4">
        <v>6.39</v>
      </c>
      <c r="P146" s="4">
        <v>6</v>
      </c>
      <c r="Q146" s="3" t="s">
        <v>26</v>
      </c>
      <c r="R146" s="3">
        <v>0</v>
      </c>
      <c r="S146" s="3" t="s">
        <v>143</v>
      </c>
      <c r="T146" s="3" t="s">
        <v>269</v>
      </c>
      <c r="U146" s="3">
        <v>0</v>
      </c>
      <c r="V146" s="3">
        <v>8</v>
      </c>
      <c r="W146" s="3">
        <v>47</v>
      </c>
    </row>
    <row r="147" spans="1:23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29</v>
      </c>
      <c r="F147" s="3" t="s">
        <v>25</v>
      </c>
      <c r="G147" s="3" t="s">
        <v>25</v>
      </c>
      <c r="H147" s="3" t="s">
        <v>25</v>
      </c>
      <c r="I147" s="6">
        <v>44593</v>
      </c>
      <c r="J147" s="4">
        <v>0</v>
      </c>
      <c r="K147" s="4">
        <v>0</v>
      </c>
      <c r="L147" s="4">
        <v>12.179</v>
      </c>
      <c r="M147" s="4">
        <v>12.179</v>
      </c>
      <c r="N147" s="4">
        <v>12.179</v>
      </c>
      <c r="O147" s="4">
        <v>12.179</v>
      </c>
      <c r="P147" s="4">
        <v>19</v>
      </c>
      <c r="Q147" s="3" t="s">
        <v>26</v>
      </c>
      <c r="R147" s="3">
        <v>0</v>
      </c>
      <c r="S147" s="3" t="s">
        <v>144</v>
      </c>
      <c r="T147" s="3" t="s">
        <v>270</v>
      </c>
      <c r="U147" s="3">
        <v>0</v>
      </c>
      <c r="V147" s="3">
        <v>8</v>
      </c>
      <c r="W147" s="3">
        <v>47</v>
      </c>
    </row>
    <row r="148" spans="1:2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29</v>
      </c>
      <c r="F148" s="3" t="s">
        <v>25</v>
      </c>
      <c r="G148" s="3" t="s">
        <v>25</v>
      </c>
      <c r="H148" s="3" t="s">
        <v>25</v>
      </c>
      <c r="I148" s="6">
        <v>44621</v>
      </c>
      <c r="J148" s="4">
        <v>0</v>
      </c>
      <c r="K148" s="4">
        <v>0</v>
      </c>
      <c r="L148" s="4">
        <v>13.053000000000001</v>
      </c>
      <c r="M148" s="4">
        <v>13.053000000000001</v>
      </c>
      <c r="N148" s="4">
        <v>13.053000000000001</v>
      </c>
      <c r="O148" s="4">
        <v>13.053000000000001</v>
      </c>
      <c r="P148" s="4">
        <v>23</v>
      </c>
      <c r="Q148" s="3" t="s">
        <v>26</v>
      </c>
      <c r="R148" s="3">
        <v>0</v>
      </c>
      <c r="S148" s="3" t="s">
        <v>145</v>
      </c>
      <c r="T148" s="3" t="s">
        <v>271</v>
      </c>
      <c r="U148" s="3">
        <v>0</v>
      </c>
      <c r="V148" s="3">
        <v>8</v>
      </c>
      <c r="W148" s="3">
        <v>47</v>
      </c>
    </row>
    <row r="149" spans="1:23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29</v>
      </c>
      <c r="F149" s="3" t="s">
        <v>25</v>
      </c>
      <c r="G149" s="3" t="s">
        <v>25</v>
      </c>
      <c r="H149" s="3" t="s">
        <v>25</v>
      </c>
      <c r="I149" s="6">
        <v>44652</v>
      </c>
      <c r="J149" s="4">
        <v>0</v>
      </c>
      <c r="K149" s="4">
        <v>0</v>
      </c>
      <c r="L149" s="4">
        <v>13.14</v>
      </c>
      <c r="M149" s="4">
        <v>13.14</v>
      </c>
      <c r="N149" s="4">
        <v>13.14</v>
      </c>
      <c r="O149" s="4">
        <v>13.14</v>
      </c>
      <c r="P149" s="4">
        <v>24</v>
      </c>
      <c r="Q149" s="3" t="s">
        <v>26</v>
      </c>
      <c r="R149" s="3">
        <v>0</v>
      </c>
      <c r="S149" s="3" t="s">
        <v>146</v>
      </c>
      <c r="T149" s="3" t="s">
        <v>272</v>
      </c>
      <c r="U149" s="3">
        <v>0</v>
      </c>
      <c r="V149" s="3">
        <v>8</v>
      </c>
      <c r="W149" s="3">
        <v>47</v>
      </c>
    </row>
    <row r="150" spans="1:23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29</v>
      </c>
      <c r="F150" s="3" t="s">
        <v>25</v>
      </c>
      <c r="G150" s="3" t="s">
        <v>25</v>
      </c>
      <c r="H150" s="3" t="s">
        <v>25</v>
      </c>
      <c r="I150" s="6">
        <v>44682</v>
      </c>
      <c r="J150" s="4">
        <v>0</v>
      </c>
      <c r="K150" s="4">
        <v>0</v>
      </c>
      <c r="L150" s="4">
        <v>12.45</v>
      </c>
      <c r="M150" s="4">
        <v>12.45</v>
      </c>
      <c r="N150" s="4">
        <v>12.45</v>
      </c>
      <c r="O150" s="4">
        <v>12.45</v>
      </c>
      <c r="P150" s="4">
        <v>33</v>
      </c>
      <c r="Q150" s="3" t="s">
        <v>26</v>
      </c>
      <c r="R150" s="3">
        <v>0</v>
      </c>
      <c r="S150" s="3" t="s">
        <v>147</v>
      </c>
      <c r="T150" s="3" t="s">
        <v>273</v>
      </c>
      <c r="U150" s="3">
        <v>0</v>
      </c>
      <c r="V150" s="3">
        <v>8</v>
      </c>
      <c r="W150" s="3">
        <v>47</v>
      </c>
    </row>
    <row r="151" spans="1:2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29</v>
      </c>
      <c r="F151" s="3" t="s">
        <v>25</v>
      </c>
      <c r="G151" s="3" t="s">
        <v>25</v>
      </c>
      <c r="H151" s="3" t="s">
        <v>25</v>
      </c>
      <c r="I151" s="6">
        <v>44713</v>
      </c>
      <c r="J151" s="4">
        <v>0</v>
      </c>
      <c r="K151" s="4">
        <v>0</v>
      </c>
      <c r="L151" s="4">
        <v>10.65</v>
      </c>
      <c r="M151" s="4">
        <v>10.65</v>
      </c>
      <c r="N151" s="4">
        <v>10.65</v>
      </c>
      <c r="O151" s="4">
        <v>10.65</v>
      </c>
      <c r="P151" s="4">
        <v>24</v>
      </c>
      <c r="Q151" s="3" t="s">
        <v>26</v>
      </c>
      <c r="R151" s="3">
        <v>0</v>
      </c>
      <c r="S151" s="3" t="s">
        <v>148</v>
      </c>
      <c r="T151" s="3" t="s">
        <v>274</v>
      </c>
      <c r="U151" s="3">
        <v>0</v>
      </c>
      <c r="V151" s="3">
        <v>8</v>
      </c>
      <c r="W151" s="3">
        <v>47</v>
      </c>
    </row>
    <row r="152" spans="1:23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29</v>
      </c>
      <c r="F152" s="3" t="s">
        <v>25</v>
      </c>
      <c r="G152" s="3" t="s">
        <v>25</v>
      </c>
      <c r="H152" s="3" t="s">
        <v>25</v>
      </c>
      <c r="I152" s="6">
        <v>44743</v>
      </c>
      <c r="J152" s="4">
        <v>0</v>
      </c>
      <c r="K152" s="4">
        <v>0</v>
      </c>
      <c r="L152" s="4">
        <v>9.48</v>
      </c>
      <c r="M152" s="4">
        <v>9.48</v>
      </c>
      <c r="N152" s="4">
        <v>9.48</v>
      </c>
      <c r="O152" s="4">
        <v>9.48</v>
      </c>
      <c r="P152" s="4">
        <v>18</v>
      </c>
      <c r="Q152" s="3" t="s">
        <v>26</v>
      </c>
      <c r="R152" s="3">
        <v>0</v>
      </c>
      <c r="S152" s="3" t="s">
        <v>149</v>
      </c>
      <c r="T152" s="3" t="s">
        <v>275</v>
      </c>
      <c r="U152" s="3">
        <v>0</v>
      </c>
      <c r="V152" s="3">
        <v>8</v>
      </c>
      <c r="W152" s="3">
        <v>47</v>
      </c>
    </row>
    <row r="153" spans="1:23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29</v>
      </c>
      <c r="F153" s="3" t="s">
        <v>25</v>
      </c>
      <c r="G153" s="3" t="s">
        <v>25</v>
      </c>
      <c r="H153" s="3" t="s">
        <v>25</v>
      </c>
      <c r="I153" s="6">
        <v>44774</v>
      </c>
      <c r="J153" s="4">
        <v>0</v>
      </c>
      <c r="K153" s="4">
        <v>0</v>
      </c>
      <c r="L153" s="4">
        <v>9.6300000000000008</v>
      </c>
      <c r="M153" s="4">
        <v>9.6300000000000008</v>
      </c>
      <c r="N153" s="4">
        <v>9.6300000000000008</v>
      </c>
      <c r="O153" s="4">
        <v>9.6300000000000008</v>
      </c>
      <c r="P153" s="4">
        <v>18</v>
      </c>
      <c r="Q153" s="3" t="s">
        <v>26</v>
      </c>
      <c r="R153" s="3">
        <v>0</v>
      </c>
      <c r="S153" s="3" t="s">
        <v>150</v>
      </c>
      <c r="T153" s="3" t="s">
        <v>276</v>
      </c>
      <c r="U153" s="3">
        <v>0</v>
      </c>
      <c r="V153" s="3">
        <v>8</v>
      </c>
      <c r="W153" s="3">
        <v>47</v>
      </c>
    </row>
    <row r="154" spans="1:2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30</v>
      </c>
      <c r="F154" s="3" t="s">
        <v>25</v>
      </c>
      <c r="G154" s="3" t="s">
        <v>25</v>
      </c>
      <c r="H154" s="3" t="s">
        <v>25</v>
      </c>
      <c r="I154" s="6">
        <v>44440</v>
      </c>
      <c r="J154" s="4">
        <v>0</v>
      </c>
      <c r="K154" s="4">
        <v>0</v>
      </c>
      <c r="L154" s="4">
        <v>12.31</v>
      </c>
      <c r="M154" s="4">
        <v>12.31</v>
      </c>
      <c r="N154" s="4">
        <v>12.31</v>
      </c>
      <c r="O154" s="4">
        <v>12.31</v>
      </c>
      <c r="P154" s="4">
        <v>27</v>
      </c>
      <c r="Q154" s="3" t="s">
        <v>26</v>
      </c>
      <c r="R154" s="3">
        <v>0</v>
      </c>
      <c r="S154" s="3" t="s">
        <v>151</v>
      </c>
      <c r="T154" s="3" t="s">
        <v>277</v>
      </c>
      <c r="U154" s="3">
        <v>0</v>
      </c>
      <c r="V154" s="3">
        <v>14</v>
      </c>
      <c r="W154" s="3">
        <v>68</v>
      </c>
    </row>
    <row r="155" spans="1:23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30</v>
      </c>
      <c r="F155" s="3" t="s">
        <v>25</v>
      </c>
      <c r="G155" s="3" t="s">
        <v>25</v>
      </c>
      <c r="H155" s="3" t="s">
        <v>25</v>
      </c>
      <c r="I155" s="6">
        <v>44470</v>
      </c>
      <c r="J155" s="4">
        <v>0</v>
      </c>
      <c r="K155" s="4">
        <v>0</v>
      </c>
      <c r="L155" s="4">
        <v>11.971</v>
      </c>
      <c r="M155" s="4">
        <v>11.971</v>
      </c>
      <c r="N155" s="4">
        <v>11.971</v>
      </c>
      <c r="O155" s="4">
        <v>11.971</v>
      </c>
      <c r="P155" s="4">
        <v>40</v>
      </c>
      <c r="Q155" s="3" t="s">
        <v>26</v>
      </c>
      <c r="R155" s="3">
        <v>0</v>
      </c>
      <c r="S155" s="3" t="s">
        <v>152</v>
      </c>
      <c r="T155" s="3" t="s">
        <v>278</v>
      </c>
      <c r="U155" s="3">
        <v>0</v>
      </c>
      <c r="V155" s="3">
        <v>14</v>
      </c>
      <c r="W155" s="3">
        <v>68</v>
      </c>
    </row>
    <row r="156" spans="1:23" ht="11.25" customHeight="1" x14ac:dyDescent="0.25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30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0</v>
      </c>
      <c r="K156" s="4">
        <v>0</v>
      </c>
      <c r="L156" s="4">
        <v>12.382</v>
      </c>
      <c r="M156" s="4">
        <v>12.382</v>
      </c>
      <c r="N156" s="4">
        <v>12.382</v>
      </c>
      <c r="O156" s="4">
        <v>12.382</v>
      </c>
      <c r="P156" s="4">
        <v>26</v>
      </c>
      <c r="Q156" s="3" t="s">
        <v>26</v>
      </c>
      <c r="R156" s="3">
        <v>0</v>
      </c>
      <c r="S156" s="3" t="s">
        <v>153</v>
      </c>
      <c r="T156" s="3" t="s">
        <v>279</v>
      </c>
      <c r="U156" s="3">
        <v>0</v>
      </c>
      <c r="V156" s="3">
        <v>14</v>
      </c>
      <c r="W156" s="3">
        <v>68</v>
      </c>
    </row>
    <row r="157" spans="1:2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30</v>
      </c>
      <c r="F157" s="3" t="s">
        <v>25</v>
      </c>
      <c r="G157" s="3" t="s">
        <v>25</v>
      </c>
      <c r="H157" s="3" t="s">
        <v>25</v>
      </c>
      <c r="I157" s="6">
        <v>44531</v>
      </c>
      <c r="J157" s="4">
        <v>0</v>
      </c>
      <c r="K157" s="4">
        <v>0</v>
      </c>
      <c r="L157" s="4">
        <v>13.146000000000001</v>
      </c>
      <c r="M157" s="4">
        <v>13.146000000000001</v>
      </c>
      <c r="N157" s="4">
        <v>13.146000000000001</v>
      </c>
      <c r="O157" s="4">
        <v>13.146000000000001</v>
      </c>
      <c r="P157" s="4">
        <v>26</v>
      </c>
      <c r="Q157" s="3" t="s">
        <v>26</v>
      </c>
      <c r="R157" s="3">
        <v>0</v>
      </c>
      <c r="S157" s="3" t="s">
        <v>154</v>
      </c>
      <c r="T157" s="3" t="s">
        <v>280</v>
      </c>
      <c r="U157" s="3">
        <v>0</v>
      </c>
      <c r="V157" s="3">
        <v>14</v>
      </c>
      <c r="W157" s="3">
        <v>68</v>
      </c>
    </row>
    <row r="158" spans="1:23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30</v>
      </c>
      <c r="F158" s="3" t="s">
        <v>25</v>
      </c>
      <c r="G158" s="3" t="s">
        <v>25</v>
      </c>
      <c r="H158" s="3" t="s">
        <v>25</v>
      </c>
      <c r="I158" s="6">
        <v>44562</v>
      </c>
      <c r="J158" s="4">
        <v>0</v>
      </c>
      <c r="K158" s="4">
        <v>0</v>
      </c>
      <c r="L158" s="4">
        <v>13.582000000000001</v>
      </c>
      <c r="M158" s="4">
        <v>13.582000000000001</v>
      </c>
      <c r="N158" s="4">
        <v>13.582000000000001</v>
      </c>
      <c r="O158" s="4">
        <v>13.582000000000001</v>
      </c>
      <c r="P158" s="4">
        <v>23</v>
      </c>
      <c r="Q158" s="3" t="s">
        <v>26</v>
      </c>
      <c r="R158" s="3">
        <v>0</v>
      </c>
      <c r="S158" s="3" t="s">
        <v>155</v>
      </c>
      <c r="T158" s="3" t="s">
        <v>281</v>
      </c>
      <c r="U158" s="3">
        <v>0</v>
      </c>
      <c r="V158" s="3">
        <v>14</v>
      </c>
      <c r="W158" s="3">
        <v>68</v>
      </c>
    </row>
    <row r="159" spans="1:23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30</v>
      </c>
      <c r="F159" s="3" t="s">
        <v>25</v>
      </c>
      <c r="G159" s="3" t="s">
        <v>25</v>
      </c>
      <c r="H159" s="3" t="s">
        <v>25</v>
      </c>
      <c r="I159" s="6">
        <v>44593</v>
      </c>
      <c r="J159" s="4">
        <v>0</v>
      </c>
      <c r="K159" s="4">
        <v>0</v>
      </c>
      <c r="L159" s="4">
        <v>24.603000000000002</v>
      </c>
      <c r="M159" s="4">
        <v>24.603000000000002</v>
      </c>
      <c r="N159" s="4">
        <v>24.603000000000002</v>
      </c>
      <c r="O159" s="4">
        <v>24.603000000000002</v>
      </c>
      <c r="P159" s="4">
        <v>75</v>
      </c>
      <c r="Q159" s="3" t="s">
        <v>26</v>
      </c>
      <c r="R159" s="3">
        <v>0</v>
      </c>
      <c r="S159" s="3" t="s">
        <v>156</v>
      </c>
      <c r="T159" s="3" t="s">
        <v>282</v>
      </c>
      <c r="U159" s="3">
        <v>0</v>
      </c>
      <c r="V159" s="3">
        <v>14</v>
      </c>
      <c r="W159" s="3">
        <v>68</v>
      </c>
    </row>
    <row r="160" spans="1:2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30</v>
      </c>
      <c r="F160" s="3" t="s">
        <v>25</v>
      </c>
      <c r="G160" s="3" t="s">
        <v>25</v>
      </c>
      <c r="H160" s="3" t="s">
        <v>25</v>
      </c>
      <c r="I160" s="6">
        <v>44621</v>
      </c>
      <c r="J160" s="4">
        <v>0</v>
      </c>
      <c r="K160" s="4">
        <v>0</v>
      </c>
      <c r="L160" s="4">
        <v>26.404</v>
      </c>
      <c r="M160" s="4">
        <v>26.404</v>
      </c>
      <c r="N160" s="4">
        <v>26.404</v>
      </c>
      <c r="O160" s="4">
        <v>26.404</v>
      </c>
      <c r="P160" s="4">
        <v>77</v>
      </c>
      <c r="Q160" s="3" t="s">
        <v>26</v>
      </c>
      <c r="R160" s="3">
        <v>0</v>
      </c>
      <c r="S160" s="3" t="s">
        <v>157</v>
      </c>
      <c r="T160" s="3" t="s">
        <v>283</v>
      </c>
      <c r="U160" s="3">
        <v>0</v>
      </c>
      <c r="V160" s="3">
        <v>14</v>
      </c>
      <c r="W160" s="3">
        <v>68</v>
      </c>
    </row>
    <row r="161" spans="1:23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30</v>
      </c>
      <c r="F161" s="3" t="s">
        <v>25</v>
      </c>
      <c r="G161" s="3" t="s">
        <v>25</v>
      </c>
      <c r="H161" s="3" t="s">
        <v>25</v>
      </c>
      <c r="I161" s="6">
        <v>44652</v>
      </c>
      <c r="J161" s="4">
        <v>0</v>
      </c>
      <c r="K161" s="4">
        <v>0</v>
      </c>
      <c r="L161" s="4">
        <v>26.151</v>
      </c>
      <c r="M161" s="4">
        <v>26.151</v>
      </c>
      <c r="N161" s="4">
        <v>26.151</v>
      </c>
      <c r="O161" s="4">
        <v>26.151</v>
      </c>
      <c r="P161" s="4">
        <v>88</v>
      </c>
      <c r="Q161" s="3" t="s">
        <v>26</v>
      </c>
      <c r="R161" s="3">
        <v>0</v>
      </c>
      <c r="S161" s="3" t="s">
        <v>158</v>
      </c>
      <c r="T161" s="3" t="s">
        <v>284</v>
      </c>
      <c r="U161" s="3">
        <v>0</v>
      </c>
      <c r="V161" s="3">
        <v>14</v>
      </c>
      <c r="W161" s="3">
        <v>68</v>
      </c>
    </row>
    <row r="162" spans="1:23" ht="11.25" customHeight="1" x14ac:dyDescent="0.25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30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0</v>
      </c>
      <c r="K162" s="4">
        <v>0</v>
      </c>
      <c r="L162" s="4">
        <v>24.312000000000001</v>
      </c>
      <c r="M162" s="4">
        <v>24.312000000000001</v>
      </c>
      <c r="N162" s="4">
        <v>24.312000000000001</v>
      </c>
      <c r="O162" s="4">
        <v>24.312000000000001</v>
      </c>
      <c r="P162" s="4">
        <v>83</v>
      </c>
      <c r="Q162" s="3" t="s">
        <v>26</v>
      </c>
      <c r="R162" s="3">
        <v>0</v>
      </c>
      <c r="S162" s="3" t="s">
        <v>159</v>
      </c>
      <c r="T162" s="3" t="s">
        <v>285</v>
      </c>
      <c r="U162" s="3">
        <v>0</v>
      </c>
      <c r="V162" s="3">
        <v>14</v>
      </c>
      <c r="W162" s="3">
        <v>68</v>
      </c>
    </row>
    <row r="163" spans="1:2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30</v>
      </c>
      <c r="F163" s="3" t="s">
        <v>25</v>
      </c>
      <c r="G163" s="3" t="s">
        <v>25</v>
      </c>
      <c r="H163" s="3" t="s">
        <v>25</v>
      </c>
      <c r="I163" s="6">
        <v>44713</v>
      </c>
      <c r="J163" s="4">
        <v>0</v>
      </c>
      <c r="K163" s="4">
        <v>0</v>
      </c>
      <c r="L163" s="4">
        <v>21.07</v>
      </c>
      <c r="M163" s="4">
        <v>21.07</v>
      </c>
      <c r="N163" s="4">
        <v>21.07</v>
      </c>
      <c r="O163" s="4">
        <v>21.07</v>
      </c>
      <c r="P163" s="4">
        <v>74</v>
      </c>
      <c r="Q163" s="3" t="s">
        <v>26</v>
      </c>
      <c r="R163" s="3">
        <v>0</v>
      </c>
      <c r="S163" s="3" t="s">
        <v>160</v>
      </c>
      <c r="T163" s="3" t="s">
        <v>286</v>
      </c>
      <c r="U163" s="3">
        <v>0</v>
      </c>
      <c r="V163" s="3">
        <v>14</v>
      </c>
      <c r="W163" s="3">
        <v>68</v>
      </c>
    </row>
    <row r="164" spans="1:23" ht="11.25" customHeight="1" x14ac:dyDescent="0.25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30</v>
      </c>
      <c r="F164" s="3" t="s">
        <v>25</v>
      </c>
      <c r="G164" s="3" t="s">
        <v>25</v>
      </c>
      <c r="H164" s="3" t="s">
        <v>25</v>
      </c>
      <c r="I164" s="6">
        <v>44743</v>
      </c>
      <c r="J164" s="4">
        <v>0</v>
      </c>
      <c r="K164" s="4">
        <v>0</v>
      </c>
      <c r="L164" s="4">
        <v>18.611000000000001</v>
      </c>
      <c r="M164" s="4">
        <v>18.611000000000001</v>
      </c>
      <c r="N164" s="4">
        <v>18.611000000000001</v>
      </c>
      <c r="O164" s="4">
        <v>18.611000000000001</v>
      </c>
      <c r="P164" s="4">
        <v>79</v>
      </c>
      <c r="Q164" s="3" t="s">
        <v>26</v>
      </c>
      <c r="R164" s="3">
        <v>0</v>
      </c>
      <c r="S164" s="3" t="s">
        <v>161</v>
      </c>
      <c r="T164" s="3" t="s">
        <v>287</v>
      </c>
      <c r="U164" s="3">
        <v>0</v>
      </c>
      <c r="V164" s="3">
        <v>14</v>
      </c>
      <c r="W164" s="3">
        <v>68</v>
      </c>
    </row>
    <row r="165" spans="1:23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30</v>
      </c>
      <c r="F165" s="3" t="s">
        <v>25</v>
      </c>
      <c r="G165" s="3" t="s">
        <v>25</v>
      </c>
      <c r="H165" s="3" t="s">
        <v>25</v>
      </c>
      <c r="I165" s="6">
        <v>44774</v>
      </c>
      <c r="J165" s="4">
        <v>0</v>
      </c>
      <c r="K165" s="4">
        <v>0</v>
      </c>
      <c r="L165" s="4">
        <v>19.117999999999999</v>
      </c>
      <c r="M165" s="4">
        <v>19.117999999999999</v>
      </c>
      <c r="N165" s="4">
        <v>19.117999999999999</v>
      </c>
      <c r="O165" s="4">
        <v>19.117999999999999</v>
      </c>
      <c r="P165" s="4">
        <v>68</v>
      </c>
      <c r="Q165" s="3" t="s">
        <v>26</v>
      </c>
      <c r="R165" s="3">
        <v>0</v>
      </c>
      <c r="S165" s="3" t="s">
        <v>162</v>
      </c>
      <c r="T165" s="3" t="s">
        <v>288</v>
      </c>
      <c r="U165" s="3">
        <v>0</v>
      </c>
      <c r="V165" s="3">
        <v>14</v>
      </c>
      <c r="W165" s="3">
        <v>68</v>
      </c>
    </row>
    <row r="166" spans="1:23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31</v>
      </c>
      <c r="F166" s="3" t="s">
        <v>25</v>
      </c>
      <c r="G166" s="3" t="s">
        <v>25</v>
      </c>
      <c r="H166" s="3" t="s">
        <v>25</v>
      </c>
      <c r="I166" s="6">
        <v>44440</v>
      </c>
      <c r="J166" s="4">
        <v>0</v>
      </c>
      <c r="K166" s="4">
        <v>0</v>
      </c>
      <c r="L166" s="4">
        <v>12.941000000000001</v>
      </c>
      <c r="M166" s="4">
        <v>12.941000000000001</v>
      </c>
      <c r="N166" s="4">
        <v>12.941000000000001</v>
      </c>
      <c r="O166" s="4">
        <v>12.941000000000001</v>
      </c>
      <c r="P166" s="4">
        <v>91</v>
      </c>
      <c r="Q166" s="3" t="s">
        <v>26</v>
      </c>
      <c r="R166" s="3">
        <v>0</v>
      </c>
      <c r="S166" s="3" t="s">
        <v>163</v>
      </c>
      <c r="T166" s="3" t="s">
        <v>289</v>
      </c>
      <c r="U166" s="3">
        <v>0</v>
      </c>
      <c r="V166" s="3">
        <v>12</v>
      </c>
      <c r="W166" s="3">
        <v>64</v>
      </c>
    </row>
    <row r="167" spans="1:23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31</v>
      </c>
      <c r="F167" s="3" t="s">
        <v>25</v>
      </c>
      <c r="G167" s="3" t="s">
        <v>25</v>
      </c>
      <c r="H167" s="3" t="s">
        <v>25</v>
      </c>
      <c r="I167" s="6">
        <v>44470</v>
      </c>
      <c r="J167" s="4">
        <v>0</v>
      </c>
      <c r="K167" s="4">
        <v>0</v>
      </c>
      <c r="L167" s="4">
        <v>10.238</v>
      </c>
      <c r="M167" s="4">
        <v>10.238</v>
      </c>
      <c r="N167" s="4">
        <v>10.238</v>
      </c>
      <c r="O167" s="4">
        <v>10.238</v>
      </c>
      <c r="P167" s="4">
        <v>104</v>
      </c>
      <c r="Q167" s="3" t="s">
        <v>26</v>
      </c>
      <c r="R167" s="3">
        <v>0</v>
      </c>
      <c r="S167" s="3" t="s">
        <v>164</v>
      </c>
      <c r="T167" s="3" t="s">
        <v>290</v>
      </c>
      <c r="U167" s="3">
        <v>0</v>
      </c>
      <c r="V167" s="3">
        <v>12</v>
      </c>
      <c r="W167" s="3">
        <v>64</v>
      </c>
    </row>
    <row r="168" spans="1:23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31</v>
      </c>
      <c r="F168" s="3" t="s">
        <v>25</v>
      </c>
      <c r="G168" s="3" t="s">
        <v>25</v>
      </c>
      <c r="H168" s="3" t="s">
        <v>25</v>
      </c>
      <c r="I168" s="6">
        <v>44501</v>
      </c>
      <c r="J168" s="4">
        <v>0</v>
      </c>
      <c r="K168" s="4">
        <v>0</v>
      </c>
      <c r="L168" s="4">
        <v>12.458</v>
      </c>
      <c r="M168" s="4">
        <v>12.458</v>
      </c>
      <c r="N168" s="4">
        <v>12.458</v>
      </c>
      <c r="O168" s="4">
        <v>12.458</v>
      </c>
      <c r="P168" s="4">
        <v>105</v>
      </c>
      <c r="Q168" s="3" t="s">
        <v>26</v>
      </c>
      <c r="R168" s="3">
        <v>0</v>
      </c>
      <c r="S168" s="3" t="s">
        <v>165</v>
      </c>
      <c r="T168" s="3" t="s">
        <v>291</v>
      </c>
      <c r="U168" s="3">
        <v>0</v>
      </c>
      <c r="V168" s="3">
        <v>12</v>
      </c>
      <c r="W168" s="3">
        <v>64</v>
      </c>
    </row>
    <row r="169" spans="1:23" ht="11.25" customHeight="1" x14ac:dyDescent="0.25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31</v>
      </c>
      <c r="F169" s="3" t="s">
        <v>25</v>
      </c>
      <c r="G169" s="3" t="s">
        <v>25</v>
      </c>
      <c r="H169" s="3" t="s">
        <v>25</v>
      </c>
      <c r="I169" s="6">
        <v>44531</v>
      </c>
      <c r="J169" s="4">
        <v>0</v>
      </c>
      <c r="K169" s="4">
        <v>0</v>
      </c>
      <c r="L169" s="4">
        <v>15.427</v>
      </c>
      <c r="M169" s="4">
        <v>15.427</v>
      </c>
      <c r="N169" s="4">
        <v>15.427</v>
      </c>
      <c r="O169" s="4">
        <v>15.427</v>
      </c>
      <c r="P169" s="4">
        <v>97</v>
      </c>
      <c r="Q169" s="3" t="s">
        <v>26</v>
      </c>
      <c r="R169" s="3">
        <v>0</v>
      </c>
      <c r="S169" s="3" t="s">
        <v>166</v>
      </c>
      <c r="T169" s="3" t="s">
        <v>292</v>
      </c>
      <c r="U169" s="3">
        <v>0</v>
      </c>
      <c r="V169" s="3">
        <v>12</v>
      </c>
      <c r="W169" s="3">
        <v>64</v>
      </c>
    </row>
    <row r="170" spans="1:2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31</v>
      </c>
      <c r="F170" s="3" t="s">
        <v>25</v>
      </c>
      <c r="G170" s="3" t="s">
        <v>25</v>
      </c>
      <c r="H170" s="3" t="s">
        <v>25</v>
      </c>
      <c r="I170" s="6">
        <v>44562</v>
      </c>
      <c r="J170" s="4">
        <v>0</v>
      </c>
      <c r="K170" s="4">
        <v>0</v>
      </c>
      <c r="L170" s="4">
        <v>16.670999999999999</v>
      </c>
      <c r="M170" s="4">
        <v>16.670999999999999</v>
      </c>
      <c r="N170" s="4">
        <v>16.670999999999999</v>
      </c>
      <c r="O170" s="4">
        <v>16.670999999999999</v>
      </c>
      <c r="P170" s="4">
        <v>93</v>
      </c>
      <c r="Q170" s="3" t="s">
        <v>26</v>
      </c>
      <c r="R170" s="3">
        <v>0</v>
      </c>
      <c r="S170" s="3" t="s">
        <v>167</v>
      </c>
      <c r="T170" s="3" t="s">
        <v>293</v>
      </c>
      <c r="U170" s="3">
        <v>0</v>
      </c>
      <c r="V170" s="3">
        <v>12</v>
      </c>
      <c r="W170" s="3">
        <v>64</v>
      </c>
    </row>
    <row r="171" spans="1:2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31</v>
      </c>
      <c r="F171" s="3" t="s">
        <v>25</v>
      </c>
      <c r="G171" s="3" t="s">
        <v>25</v>
      </c>
      <c r="H171" s="3" t="s">
        <v>25</v>
      </c>
      <c r="I171" s="6">
        <v>44593</v>
      </c>
      <c r="J171" s="4">
        <v>0</v>
      </c>
      <c r="K171" s="4">
        <v>0</v>
      </c>
      <c r="L171" s="4">
        <v>26.309000000000001</v>
      </c>
      <c r="M171" s="4">
        <v>26.309000000000001</v>
      </c>
      <c r="N171" s="4">
        <v>26.309000000000001</v>
      </c>
      <c r="O171" s="4">
        <v>26.309000000000001</v>
      </c>
      <c r="P171" s="4">
        <v>192</v>
      </c>
      <c r="Q171" s="3" t="s">
        <v>26</v>
      </c>
      <c r="R171" s="3">
        <v>0</v>
      </c>
      <c r="S171" s="3" t="s">
        <v>168</v>
      </c>
      <c r="T171" s="3" t="s">
        <v>294</v>
      </c>
      <c r="U171" s="3">
        <v>0</v>
      </c>
      <c r="V171" s="3">
        <v>12</v>
      </c>
      <c r="W171" s="3">
        <v>64</v>
      </c>
    </row>
    <row r="172" spans="1:2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31</v>
      </c>
      <c r="F172" s="3" t="s">
        <v>25</v>
      </c>
      <c r="G172" s="3" t="s">
        <v>25</v>
      </c>
      <c r="H172" s="3" t="s">
        <v>25</v>
      </c>
      <c r="I172" s="6">
        <v>44621</v>
      </c>
      <c r="J172" s="4">
        <v>0</v>
      </c>
      <c r="K172" s="4">
        <v>0</v>
      </c>
      <c r="L172" s="4">
        <v>28.52</v>
      </c>
      <c r="M172" s="4">
        <v>28.52</v>
      </c>
      <c r="N172" s="4">
        <v>28.52</v>
      </c>
      <c r="O172" s="4">
        <v>28.52</v>
      </c>
      <c r="P172" s="4">
        <v>197</v>
      </c>
      <c r="Q172" s="3" t="s">
        <v>26</v>
      </c>
      <c r="R172" s="3">
        <v>0</v>
      </c>
      <c r="S172" s="3" t="s">
        <v>169</v>
      </c>
      <c r="T172" s="3" t="s">
        <v>295</v>
      </c>
      <c r="U172" s="3">
        <v>0</v>
      </c>
      <c r="V172" s="3">
        <v>12</v>
      </c>
      <c r="W172" s="3">
        <v>64</v>
      </c>
    </row>
    <row r="173" spans="1:23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31</v>
      </c>
      <c r="F173" s="3" t="s">
        <v>25</v>
      </c>
      <c r="G173" s="3" t="s">
        <v>25</v>
      </c>
      <c r="H173" s="3" t="s">
        <v>25</v>
      </c>
      <c r="I173" s="6">
        <v>44652</v>
      </c>
      <c r="J173" s="4">
        <v>0</v>
      </c>
      <c r="K173" s="4">
        <v>0</v>
      </c>
      <c r="L173" s="4">
        <v>26.978999999999999</v>
      </c>
      <c r="M173" s="4">
        <v>26.978999999999999</v>
      </c>
      <c r="N173" s="4">
        <v>26.978999999999999</v>
      </c>
      <c r="O173" s="4">
        <v>26.978999999999999</v>
      </c>
      <c r="P173" s="4">
        <v>199</v>
      </c>
      <c r="Q173" s="3" t="s">
        <v>26</v>
      </c>
      <c r="R173" s="3">
        <v>0</v>
      </c>
      <c r="S173" s="3" t="s">
        <v>170</v>
      </c>
      <c r="T173" s="3" t="s">
        <v>296</v>
      </c>
      <c r="U173" s="3">
        <v>0</v>
      </c>
      <c r="V173" s="3">
        <v>12</v>
      </c>
      <c r="W173" s="3">
        <v>64</v>
      </c>
    </row>
    <row r="174" spans="1:23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31</v>
      </c>
      <c r="F174" s="3" t="s">
        <v>25</v>
      </c>
      <c r="G174" s="3" t="s">
        <v>25</v>
      </c>
      <c r="H174" s="3" t="s">
        <v>25</v>
      </c>
      <c r="I174" s="6">
        <v>44682</v>
      </c>
      <c r="J174" s="4">
        <v>0</v>
      </c>
      <c r="K174" s="4">
        <v>0</v>
      </c>
      <c r="L174" s="4">
        <v>22.402999999999999</v>
      </c>
      <c r="M174" s="4">
        <v>22.402999999999999</v>
      </c>
      <c r="N174" s="4">
        <v>22.402999999999999</v>
      </c>
      <c r="O174" s="4">
        <v>22.402999999999999</v>
      </c>
      <c r="P174" s="4">
        <v>215</v>
      </c>
      <c r="Q174" s="3" t="s">
        <v>26</v>
      </c>
      <c r="R174" s="3">
        <v>0</v>
      </c>
      <c r="S174" s="3" t="s">
        <v>171</v>
      </c>
      <c r="T174" s="3" t="s">
        <v>297</v>
      </c>
      <c r="U174" s="3">
        <v>0</v>
      </c>
      <c r="V174" s="3">
        <v>12</v>
      </c>
      <c r="W174" s="3">
        <v>64</v>
      </c>
    </row>
    <row r="175" spans="1:2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31</v>
      </c>
      <c r="F175" s="3" t="s">
        <v>25</v>
      </c>
      <c r="G175" s="3" t="s">
        <v>25</v>
      </c>
      <c r="H175" s="3" t="s">
        <v>25</v>
      </c>
      <c r="I175" s="6">
        <v>44713</v>
      </c>
      <c r="J175" s="4">
        <v>0</v>
      </c>
      <c r="K175" s="4">
        <v>0</v>
      </c>
      <c r="L175" s="4">
        <v>22.442</v>
      </c>
      <c r="M175" s="4">
        <v>22.442</v>
      </c>
      <c r="N175" s="4">
        <v>22.442</v>
      </c>
      <c r="O175" s="4">
        <v>22.442</v>
      </c>
      <c r="P175" s="4">
        <v>151</v>
      </c>
      <c r="Q175" s="3" t="s">
        <v>26</v>
      </c>
      <c r="R175" s="3">
        <v>0</v>
      </c>
      <c r="S175" s="3" t="s">
        <v>172</v>
      </c>
      <c r="T175" s="3" t="s">
        <v>298</v>
      </c>
      <c r="U175" s="3">
        <v>0</v>
      </c>
      <c r="V175" s="3">
        <v>12</v>
      </c>
      <c r="W175" s="3">
        <v>64</v>
      </c>
    </row>
    <row r="176" spans="1:23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31</v>
      </c>
      <c r="F176" s="3" t="s">
        <v>25</v>
      </c>
      <c r="G176" s="3" t="s">
        <v>25</v>
      </c>
      <c r="H176" s="3" t="s">
        <v>25</v>
      </c>
      <c r="I176" s="6">
        <v>44743</v>
      </c>
      <c r="J176" s="4">
        <v>0</v>
      </c>
      <c r="K176" s="4">
        <v>0</v>
      </c>
      <c r="L176" s="4">
        <v>16.286000000000001</v>
      </c>
      <c r="M176" s="4">
        <v>16.286000000000001</v>
      </c>
      <c r="N176" s="4">
        <v>16.286000000000001</v>
      </c>
      <c r="O176" s="4">
        <v>16.286000000000001</v>
      </c>
      <c r="P176" s="4">
        <v>159</v>
      </c>
      <c r="Q176" s="3" t="s">
        <v>26</v>
      </c>
      <c r="R176" s="3">
        <v>0</v>
      </c>
      <c r="S176" s="3" t="s">
        <v>173</v>
      </c>
      <c r="T176" s="3" t="s">
        <v>299</v>
      </c>
      <c r="U176" s="3">
        <v>0</v>
      </c>
      <c r="V176" s="3">
        <v>12</v>
      </c>
      <c r="W176" s="3">
        <v>64</v>
      </c>
    </row>
    <row r="177" spans="1:23" ht="11.25" customHeight="1" x14ac:dyDescent="0.2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31</v>
      </c>
      <c r="F177" s="3" t="s">
        <v>25</v>
      </c>
      <c r="G177" s="3" t="s">
        <v>25</v>
      </c>
      <c r="H177" s="3" t="s">
        <v>25</v>
      </c>
      <c r="I177" s="6">
        <v>44774</v>
      </c>
      <c r="J177" s="4">
        <v>0</v>
      </c>
      <c r="K177" s="4">
        <v>0</v>
      </c>
      <c r="L177" s="4">
        <v>18.670999999999999</v>
      </c>
      <c r="M177" s="4">
        <v>18.670999999999999</v>
      </c>
      <c r="N177" s="4">
        <v>18.670999999999999</v>
      </c>
      <c r="O177" s="4">
        <v>18.670999999999999</v>
      </c>
      <c r="P177" s="4">
        <v>162</v>
      </c>
      <c r="Q177" s="3" t="s">
        <v>26</v>
      </c>
      <c r="R177" s="3">
        <v>0</v>
      </c>
      <c r="S177" s="3" t="s">
        <v>174</v>
      </c>
      <c r="T177" s="3" t="s">
        <v>300</v>
      </c>
      <c r="U177" s="3">
        <v>0</v>
      </c>
      <c r="V177" s="3">
        <v>12</v>
      </c>
      <c r="W177" s="3">
        <v>64</v>
      </c>
    </row>
    <row r="178" spans="1:23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32</v>
      </c>
      <c r="F178" s="3" t="s">
        <v>25</v>
      </c>
      <c r="G178" s="3" t="s">
        <v>25</v>
      </c>
      <c r="H178" s="3" t="s">
        <v>25</v>
      </c>
      <c r="I178" s="6">
        <v>44440</v>
      </c>
      <c r="J178" s="4">
        <v>0</v>
      </c>
      <c r="K178" s="4">
        <v>0</v>
      </c>
      <c r="L178" s="4">
        <v>5.3769999999999998</v>
      </c>
      <c r="M178" s="4">
        <v>5.3769999999999998</v>
      </c>
      <c r="N178" s="4">
        <v>5.3769999999999998</v>
      </c>
      <c r="O178" s="4">
        <v>5.3769999999999998</v>
      </c>
      <c r="P178" s="4">
        <v>68</v>
      </c>
      <c r="Q178" s="3" t="s">
        <v>26</v>
      </c>
      <c r="R178" s="3">
        <v>0</v>
      </c>
      <c r="S178" s="3" t="s">
        <v>175</v>
      </c>
      <c r="T178" s="3" t="s">
        <v>301</v>
      </c>
      <c r="U178" s="3">
        <v>0</v>
      </c>
      <c r="V178" s="3">
        <v>18</v>
      </c>
      <c r="W178" s="3">
        <v>80</v>
      </c>
    </row>
    <row r="179" spans="1:23" ht="11.25" customHeight="1" x14ac:dyDescent="0.25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32</v>
      </c>
      <c r="F179" s="3" t="s">
        <v>25</v>
      </c>
      <c r="G179" s="3" t="s">
        <v>25</v>
      </c>
      <c r="H179" s="3" t="s">
        <v>25</v>
      </c>
      <c r="I179" s="6">
        <v>44470</v>
      </c>
      <c r="J179" s="4">
        <v>0</v>
      </c>
      <c r="K179" s="4">
        <v>0</v>
      </c>
      <c r="L179" s="4">
        <v>2.8479999999999999</v>
      </c>
      <c r="M179" s="4">
        <v>2.8479999999999999</v>
      </c>
      <c r="N179" s="4">
        <v>2.8479999999999999</v>
      </c>
      <c r="O179" s="4">
        <v>2.8479999999999999</v>
      </c>
      <c r="P179" s="4">
        <v>41</v>
      </c>
      <c r="Q179" s="3" t="s">
        <v>26</v>
      </c>
      <c r="R179" s="3">
        <v>0</v>
      </c>
      <c r="S179" s="3" t="s">
        <v>176</v>
      </c>
      <c r="T179" s="3" t="s">
        <v>302</v>
      </c>
      <c r="U179" s="3">
        <v>0</v>
      </c>
      <c r="V179" s="3">
        <v>18</v>
      </c>
      <c r="W179" s="3">
        <v>80</v>
      </c>
    </row>
    <row r="180" spans="1:23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32</v>
      </c>
      <c r="F180" s="3" t="s">
        <v>25</v>
      </c>
      <c r="G180" s="3" t="s">
        <v>25</v>
      </c>
      <c r="H180" s="3" t="s">
        <v>25</v>
      </c>
      <c r="I180" s="6">
        <v>44501</v>
      </c>
      <c r="J180" s="4">
        <v>0</v>
      </c>
      <c r="K180" s="4">
        <v>0</v>
      </c>
      <c r="L180" s="4">
        <v>4.7279999999999998</v>
      </c>
      <c r="M180" s="4">
        <v>4.7279999999999998</v>
      </c>
      <c r="N180" s="4">
        <v>4.7279999999999998</v>
      </c>
      <c r="O180" s="4">
        <v>4.7279999999999998</v>
      </c>
      <c r="P180" s="4">
        <v>57</v>
      </c>
      <c r="Q180" s="3" t="s">
        <v>26</v>
      </c>
      <c r="R180" s="3">
        <v>0</v>
      </c>
      <c r="S180" s="3" t="s">
        <v>177</v>
      </c>
      <c r="T180" s="3" t="s">
        <v>303</v>
      </c>
      <c r="U180" s="3">
        <v>0</v>
      </c>
      <c r="V180" s="3">
        <v>18</v>
      </c>
      <c r="W180" s="3">
        <v>80</v>
      </c>
    </row>
    <row r="181" spans="1:2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32</v>
      </c>
      <c r="F181" s="3" t="s">
        <v>25</v>
      </c>
      <c r="G181" s="3" t="s">
        <v>25</v>
      </c>
      <c r="H181" s="3" t="s">
        <v>25</v>
      </c>
      <c r="I181" s="6">
        <v>44531</v>
      </c>
      <c r="J181" s="4">
        <v>0</v>
      </c>
      <c r="K181" s="4">
        <v>0</v>
      </c>
      <c r="L181" s="4">
        <v>7.8019999999999996</v>
      </c>
      <c r="M181" s="4">
        <v>7.8019999999999996</v>
      </c>
      <c r="N181" s="4">
        <v>7.8019999999999996</v>
      </c>
      <c r="O181" s="4">
        <v>7.8019999999999996</v>
      </c>
      <c r="P181" s="4">
        <v>79</v>
      </c>
      <c r="Q181" s="3" t="s">
        <v>26</v>
      </c>
      <c r="R181" s="3">
        <v>0</v>
      </c>
      <c r="S181" s="3" t="s">
        <v>178</v>
      </c>
      <c r="T181" s="3" t="s">
        <v>304</v>
      </c>
      <c r="U181" s="3">
        <v>0</v>
      </c>
      <c r="V181" s="3">
        <v>18</v>
      </c>
      <c r="W181" s="3">
        <v>80</v>
      </c>
    </row>
    <row r="182" spans="1:23" ht="11.25" customHeight="1" x14ac:dyDescent="0.25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32</v>
      </c>
      <c r="F182" s="3" t="s">
        <v>25</v>
      </c>
      <c r="G182" s="3" t="s">
        <v>25</v>
      </c>
      <c r="H182" s="3" t="s">
        <v>25</v>
      </c>
      <c r="I182" s="6">
        <v>44562</v>
      </c>
      <c r="J182" s="4">
        <v>0</v>
      </c>
      <c r="K182" s="4">
        <v>0</v>
      </c>
      <c r="L182" s="4">
        <v>10.47</v>
      </c>
      <c r="M182" s="4">
        <v>10.47</v>
      </c>
      <c r="N182" s="4">
        <v>10.47</v>
      </c>
      <c r="O182" s="4">
        <v>10.47</v>
      </c>
      <c r="P182" s="4">
        <v>91</v>
      </c>
      <c r="Q182" s="3" t="s">
        <v>26</v>
      </c>
      <c r="R182" s="3">
        <v>0</v>
      </c>
      <c r="S182" s="3" t="s">
        <v>179</v>
      </c>
      <c r="T182" s="3" t="s">
        <v>305</v>
      </c>
      <c r="U182" s="3">
        <v>0</v>
      </c>
      <c r="V182" s="3">
        <v>18</v>
      </c>
      <c r="W182" s="3">
        <v>80</v>
      </c>
    </row>
    <row r="183" spans="1:2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32</v>
      </c>
      <c r="F183" s="3" t="s">
        <v>25</v>
      </c>
      <c r="G183" s="3" t="s">
        <v>25</v>
      </c>
      <c r="H183" s="3" t="s">
        <v>25</v>
      </c>
      <c r="I183" s="6">
        <v>44593</v>
      </c>
      <c r="J183" s="4">
        <v>0</v>
      </c>
      <c r="K183" s="4">
        <v>0</v>
      </c>
      <c r="L183" s="4">
        <v>14.282</v>
      </c>
      <c r="M183" s="4">
        <v>14.282</v>
      </c>
      <c r="N183" s="4">
        <v>14.282</v>
      </c>
      <c r="O183" s="4">
        <v>14.282</v>
      </c>
      <c r="P183" s="4">
        <v>122</v>
      </c>
      <c r="Q183" s="3" t="s">
        <v>26</v>
      </c>
      <c r="R183" s="3">
        <v>0</v>
      </c>
      <c r="S183" s="3" t="s">
        <v>180</v>
      </c>
      <c r="T183" s="3" t="s">
        <v>306</v>
      </c>
      <c r="U183" s="3">
        <v>0</v>
      </c>
      <c r="V183" s="3">
        <v>18</v>
      </c>
      <c r="W183" s="3">
        <v>80</v>
      </c>
    </row>
    <row r="184" spans="1:23" ht="11.25" customHeight="1" x14ac:dyDescent="0.25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32</v>
      </c>
      <c r="F184" s="3" t="s">
        <v>25</v>
      </c>
      <c r="G184" s="3" t="s">
        <v>25</v>
      </c>
      <c r="H184" s="3" t="s">
        <v>25</v>
      </c>
      <c r="I184" s="6">
        <v>44621</v>
      </c>
      <c r="J184" s="4">
        <v>0</v>
      </c>
      <c r="K184" s="4">
        <v>0</v>
      </c>
      <c r="L184" s="4">
        <v>15.81</v>
      </c>
      <c r="M184" s="4">
        <v>15.81</v>
      </c>
      <c r="N184" s="4">
        <v>15.81</v>
      </c>
      <c r="O184" s="4">
        <v>15.81</v>
      </c>
      <c r="P184" s="4">
        <v>139</v>
      </c>
      <c r="Q184" s="3" t="s">
        <v>26</v>
      </c>
      <c r="R184" s="3">
        <v>0</v>
      </c>
      <c r="S184" s="3" t="s">
        <v>181</v>
      </c>
      <c r="T184" s="3" t="s">
        <v>307</v>
      </c>
      <c r="U184" s="3">
        <v>0</v>
      </c>
      <c r="V184" s="3">
        <v>18</v>
      </c>
      <c r="W184" s="3">
        <v>80</v>
      </c>
    </row>
    <row r="185" spans="1:2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32</v>
      </c>
      <c r="F185" s="3" t="s">
        <v>25</v>
      </c>
      <c r="G185" s="3" t="s">
        <v>25</v>
      </c>
      <c r="H185" s="3" t="s">
        <v>25</v>
      </c>
      <c r="I185" s="6">
        <v>44652</v>
      </c>
      <c r="J185" s="4">
        <v>0</v>
      </c>
      <c r="K185" s="4">
        <v>0</v>
      </c>
      <c r="L185" s="4">
        <v>12.138999999999999</v>
      </c>
      <c r="M185" s="4">
        <v>12.138999999999999</v>
      </c>
      <c r="N185" s="4">
        <v>12.138999999999999</v>
      </c>
      <c r="O185" s="4">
        <v>12.138999999999999</v>
      </c>
      <c r="P185" s="4">
        <v>127</v>
      </c>
      <c r="Q185" s="3" t="s">
        <v>26</v>
      </c>
      <c r="R185" s="3">
        <v>0</v>
      </c>
      <c r="S185" s="3" t="s">
        <v>182</v>
      </c>
      <c r="T185" s="3" t="s">
        <v>308</v>
      </c>
      <c r="U185" s="3">
        <v>0</v>
      </c>
      <c r="V185" s="3">
        <v>18</v>
      </c>
      <c r="W185" s="3">
        <v>80</v>
      </c>
    </row>
    <row r="186" spans="1:23" ht="11.25" customHeight="1" x14ac:dyDescent="0.25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32</v>
      </c>
      <c r="F186" s="3" t="s">
        <v>25</v>
      </c>
      <c r="G186" s="3" t="s">
        <v>25</v>
      </c>
      <c r="H186" s="3" t="s">
        <v>25</v>
      </c>
      <c r="I186" s="6">
        <v>44682</v>
      </c>
      <c r="J186" s="4">
        <v>0</v>
      </c>
      <c r="K186" s="4">
        <v>0</v>
      </c>
      <c r="L186" s="4">
        <v>7.76</v>
      </c>
      <c r="M186" s="4">
        <v>7.76</v>
      </c>
      <c r="N186" s="4">
        <v>7.76</v>
      </c>
      <c r="O186" s="4">
        <v>7.76</v>
      </c>
      <c r="P186" s="4">
        <v>84</v>
      </c>
      <c r="Q186" s="3" t="s">
        <v>26</v>
      </c>
      <c r="R186" s="3">
        <v>0</v>
      </c>
      <c r="S186" s="3" t="s">
        <v>183</v>
      </c>
      <c r="T186" s="3" t="s">
        <v>309</v>
      </c>
      <c r="U186" s="3">
        <v>0</v>
      </c>
      <c r="V186" s="3">
        <v>18</v>
      </c>
      <c r="W186" s="3">
        <v>80</v>
      </c>
    </row>
    <row r="187" spans="1:23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32</v>
      </c>
      <c r="F187" s="3" t="s">
        <v>25</v>
      </c>
      <c r="G187" s="3" t="s">
        <v>25</v>
      </c>
      <c r="H187" s="3" t="s">
        <v>25</v>
      </c>
      <c r="I187" s="6">
        <v>44713</v>
      </c>
      <c r="J187" s="4">
        <v>0</v>
      </c>
      <c r="K187" s="4">
        <v>0</v>
      </c>
      <c r="L187" s="4">
        <v>10.635</v>
      </c>
      <c r="M187" s="4">
        <v>10.635</v>
      </c>
      <c r="N187" s="4">
        <v>10.635</v>
      </c>
      <c r="O187" s="4">
        <v>10.635</v>
      </c>
      <c r="P187" s="4">
        <v>106</v>
      </c>
      <c r="Q187" s="3" t="s">
        <v>26</v>
      </c>
      <c r="R187" s="3">
        <v>0</v>
      </c>
      <c r="S187" s="3" t="s">
        <v>184</v>
      </c>
      <c r="T187" s="3" t="s">
        <v>310</v>
      </c>
      <c r="U187" s="3">
        <v>0</v>
      </c>
      <c r="V187" s="3">
        <v>18</v>
      </c>
      <c r="W187" s="3">
        <v>80</v>
      </c>
    </row>
    <row r="188" spans="1:23" ht="11.25" customHeight="1" x14ac:dyDescent="0.25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32</v>
      </c>
      <c r="F188" s="3" t="s">
        <v>25</v>
      </c>
      <c r="G188" s="3" t="s">
        <v>25</v>
      </c>
      <c r="H188" s="3" t="s">
        <v>25</v>
      </c>
      <c r="I188" s="6">
        <v>44743</v>
      </c>
      <c r="J188" s="4">
        <v>0</v>
      </c>
      <c r="K188" s="4">
        <v>0</v>
      </c>
      <c r="L188" s="4">
        <v>4.3120000000000003</v>
      </c>
      <c r="M188" s="4">
        <v>4.3120000000000003</v>
      </c>
      <c r="N188" s="4">
        <v>4.3120000000000003</v>
      </c>
      <c r="O188" s="4">
        <v>4.3120000000000003</v>
      </c>
      <c r="P188" s="4">
        <v>60</v>
      </c>
      <c r="Q188" s="3" t="s">
        <v>26</v>
      </c>
      <c r="R188" s="3">
        <v>0</v>
      </c>
      <c r="S188" s="3" t="s">
        <v>185</v>
      </c>
      <c r="T188" s="3" t="s">
        <v>311</v>
      </c>
      <c r="U188" s="3">
        <v>0</v>
      </c>
      <c r="V188" s="3">
        <v>18</v>
      </c>
      <c r="W188" s="3">
        <v>80</v>
      </c>
    </row>
    <row r="189" spans="1:23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32</v>
      </c>
      <c r="F189" s="3" t="s">
        <v>25</v>
      </c>
      <c r="G189" s="3" t="s">
        <v>25</v>
      </c>
      <c r="H189" s="3" t="s">
        <v>25</v>
      </c>
      <c r="I189" s="6">
        <v>44774</v>
      </c>
      <c r="J189" s="4">
        <v>0</v>
      </c>
      <c r="K189" s="4">
        <v>0</v>
      </c>
      <c r="L189" s="4">
        <v>7.032</v>
      </c>
      <c r="M189" s="4">
        <v>7.032</v>
      </c>
      <c r="N189" s="4">
        <v>7.032</v>
      </c>
      <c r="O189" s="4">
        <v>7.032</v>
      </c>
      <c r="P189" s="4">
        <v>73</v>
      </c>
      <c r="Q189" s="3" t="s">
        <v>26</v>
      </c>
      <c r="R189" s="3">
        <v>0</v>
      </c>
      <c r="S189" s="3" t="s">
        <v>186</v>
      </c>
      <c r="T189" s="3" t="s">
        <v>312</v>
      </c>
      <c r="U189" s="3">
        <v>0</v>
      </c>
      <c r="V189" s="3">
        <v>18</v>
      </c>
      <c r="W189" s="3">
        <v>80</v>
      </c>
    </row>
    <row r="190" spans="1:23" ht="11.25" customHeight="1" x14ac:dyDescent="0.25">
      <c r="A190" s="3" t="s">
        <v>21</v>
      </c>
      <c r="B190" s="3" t="s">
        <v>40</v>
      </c>
      <c r="C190" s="3" t="s">
        <v>23</v>
      </c>
      <c r="D190" s="3" t="s">
        <v>41</v>
      </c>
      <c r="E190" s="3" t="s">
        <v>53</v>
      </c>
      <c r="F190" s="3" t="s">
        <v>51</v>
      </c>
      <c r="G190" s="3" t="s">
        <v>25</v>
      </c>
      <c r="H190" s="3" t="s">
        <v>25</v>
      </c>
      <c r="I190" s="6">
        <v>44531</v>
      </c>
      <c r="J190" s="4">
        <v>0</v>
      </c>
      <c r="K190" s="4">
        <v>0</v>
      </c>
      <c r="L190" s="4">
        <v>1.0429999999999999</v>
      </c>
      <c r="M190" s="4">
        <v>1.0429999999999999</v>
      </c>
      <c r="N190" s="4">
        <v>1.0429999999999999</v>
      </c>
      <c r="O190" s="4">
        <v>1.0429999999999999</v>
      </c>
      <c r="P190" s="4">
        <v>0</v>
      </c>
      <c r="Q190" s="3" t="s">
        <v>26</v>
      </c>
      <c r="R190" s="3">
        <v>0</v>
      </c>
      <c r="S190" s="3" t="s">
        <v>187</v>
      </c>
      <c r="T190" s="3" t="s">
        <v>313</v>
      </c>
      <c r="U190" s="3">
        <v>0</v>
      </c>
      <c r="V190" s="3">
        <v>32</v>
      </c>
      <c r="W190" s="3">
        <v>52</v>
      </c>
    </row>
    <row r="191" spans="1:23" ht="11.25" customHeight="1" x14ac:dyDescent="0.25">
      <c r="A191" s="3" t="s">
        <v>21</v>
      </c>
      <c r="B191" s="3" t="s">
        <v>40</v>
      </c>
      <c r="C191" s="3" t="s">
        <v>23</v>
      </c>
      <c r="D191" s="3" t="s">
        <v>41</v>
      </c>
      <c r="E191" s="3" t="s">
        <v>53</v>
      </c>
      <c r="F191" s="3" t="s">
        <v>51</v>
      </c>
      <c r="G191" s="3" t="s">
        <v>25</v>
      </c>
      <c r="H191" s="3" t="s">
        <v>25</v>
      </c>
      <c r="I191" s="6">
        <v>44562</v>
      </c>
      <c r="J191" s="4">
        <v>0</v>
      </c>
      <c r="K191" s="4">
        <v>0</v>
      </c>
      <c r="L191" s="4">
        <v>1.181</v>
      </c>
      <c r="M191" s="4">
        <v>1.181</v>
      </c>
      <c r="N191" s="4">
        <v>1.181</v>
      </c>
      <c r="O191" s="4">
        <v>1.181</v>
      </c>
      <c r="P191" s="4">
        <v>0</v>
      </c>
      <c r="Q191" s="3" t="s">
        <v>26</v>
      </c>
      <c r="R191" s="3">
        <v>0</v>
      </c>
      <c r="S191" s="3" t="s">
        <v>188</v>
      </c>
      <c r="T191" s="3" t="s">
        <v>314</v>
      </c>
      <c r="U191" s="3">
        <v>0</v>
      </c>
      <c r="V191" s="3">
        <v>32</v>
      </c>
      <c r="W191" s="3">
        <v>52</v>
      </c>
    </row>
    <row r="192" spans="1:23" ht="11.25" customHeight="1" x14ac:dyDescent="0.25">
      <c r="A192" s="3" t="s">
        <v>21</v>
      </c>
      <c r="B192" s="3" t="s">
        <v>40</v>
      </c>
      <c r="C192" s="3" t="s">
        <v>23</v>
      </c>
      <c r="D192" s="3" t="s">
        <v>41</v>
      </c>
      <c r="E192" s="3" t="s">
        <v>53</v>
      </c>
      <c r="F192" s="3" t="s">
        <v>51</v>
      </c>
      <c r="G192" s="3" t="s">
        <v>25</v>
      </c>
      <c r="H192" s="3" t="s">
        <v>25</v>
      </c>
      <c r="I192" s="6">
        <v>44593</v>
      </c>
      <c r="J192" s="4">
        <v>0</v>
      </c>
      <c r="K192" s="4">
        <v>0</v>
      </c>
      <c r="L192" s="4">
        <v>0.9</v>
      </c>
      <c r="M192" s="4">
        <v>0.9</v>
      </c>
      <c r="N192" s="4">
        <v>0.9</v>
      </c>
      <c r="O192" s="4">
        <v>0.9</v>
      </c>
      <c r="P192" s="4">
        <v>0</v>
      </c>
      <c r="Q192" s="3" t="s">
        <v>26</v>
      </c>
      <c r="R192" s="3">
        <v>0</v>
      </c>
      <c r="S192" s="3" t="s">
        <v>189</v>
      </c>
      <c r="T192" s="3" t="s">
        <v>315</v>
      </c>
      <c r="U192" s="3">
        <v>0</v>
      </c>
      <c r="V192" s="3">
        <v>32</v>
      </c>
      <c r="W192" s="3">
        <v>52</v>
      </c>
    </row>
    <row r="193" spans="1:23" ht="11.25" customHeight="1" x14ac:dyDescent="0.25">
      <c r="A193" s="3" t="s">
        <v>21</v>
      </c>
      <c r="B193" s="3" t="s">
        <v>40</v>
      </c>
      <c r="C193" s="3" t="s">
        <v>23</v>
      </c>
      <c r="D193" s="3" t="s">
        <v>41</v>
      </c>
      <c r="E193" s="3" t="s">
        <v>53</v>
      </c>
      <c r="F193" s="3" t="s">
        <v>51</v>
      </c>
      <c r="G193" s="3" t="s">
        <v>25</v>
      </c>
      <c r="H193" s="3" t="s">
        <v>25</v>
      </c>
      <c r="I193" s="6">
        <v>44621</v>
      </c>
      <c r="J193" s="4">
        <v>0</v>
      </c>
      <c r="K193" s="4">
        <v>0</v>
      </c>
      <c r="L193" s="4">
        <v>0.111</v>
      </c>
      <c r="M193" s="4">
        <v>0.111</v>
      </c>
      <c r="N193" s="4">
        <v>0.111</v>
      </c>
      <c r="O193" s="4">
        <v>0.111</v>
      </c>
      <c r="P193" s="4">
        <v>0</v>
      </c>
      <c r="Q193" s="3" t="s">
        <v>26</v>
      </c>
      <c r="R193" s="3">
        <v>0</v>
      </c>
      <c r="S193" s="3" t="s">
        <v>190</v>
      </c>
      <c r="T193" s="3" t="s">
        <v>316</v>
      </c>
      <c r="U193" s="3">
        <v>0</v>
      </c>
      <c r="V193" s="3">
        <v>32</v>
      </c>
      <c r="W193" s="3">
        <v>52</v>
      </c>
    </row>
    <row r="194" spans="1:23" ht="11.25" customHeight="1" x14ac:dyDescent="0.25">
      <c r="A194" s="3" t="s">
        <v>21</v>
      </c>
      <c r="B194" s="3" t="s">
        <v>40</v>
      </c>
      <c r="C194" s="3" t="s">
        <v>23</v>
      </c>
      <c r="D194" s="3" t="s">
        <v>41</v>
      </c>
      <c r="E194" s="3" t="s">
        <v>53</v>
      </c>
      <c r="F194" s="3" t="s">
        <v>51</v>
      </c>
      <c r="G194" s="3" t="s">
        <v>25</v>
      </c>
      <c r="H194" s="3" t="s">
        <v>25</v>
      </c>
      <c r="I194" s="6">
        <v>44652</v>
      </c>
      <c r="J194" s="4">
        <v>0</v>
      </c>
      <c r="K194" s="4">
        <v>0</v>
      </c>
      <c r="L194" s="4">
        <v>0.1</v>
      </c>
      <c r="M194" s="4">
        <v>0.1</v>
      </c>
      <c r="N194" s="4">
        <v>0.1</v>
      </c>
      <c r="O194" s="4">
        <v>0.1</v>
      </c>
      <c r="P194" s="4">
        <v>0</v>
      </c>
      <c r="Q194" s="3" t="s">
        <v>26</v>
      </c>
      <c r="R194" s="3">
        <v>0</v>
      </c>
      <c r="S194" s="3" t="s">
        <v>191</v>
      </c>
      <c r="T194" s="3" t="s">
        <v>317</v>
      </c>
      <c r="U194" s="3">
        <v>0</v>
      </c>
      <c r="V194" s="3">
        <v>32</v>
      </c>
      <c r="W194" s="3">
        <v>52</v>
      </c>
    </row>
    <row r="195" spans="1:23" ht="11.25" customHeight="1" x14ac:dyDescent="0.25">
      <c r="A195" s="3" t="s">
        <v>21</v>
      </c>
      <c r="B195" s="3" t="s">
        <v>40</v>
      </c>
      <c r="C195" s="3" t="s">
        <v>23</v>
      </c>
      <c r="D195" s="3" t="s">
        <v>41</v>
      </c>
      <c r="E195" s="3" t="s">
        <v>53</v>
      </c>
      <c r="F195" s="3" t="s">
        <v>52</v>
      </c>
      <c r="G195" s="3" t="s">
        <v>25</v>
      </c>
      <c r="H195" s="3" t="s">
        <v>25</v>
      </c>
      <c r="I195" s="6">
        <v>44531</v>
      </c>
      <c r="J195" s="4">
        <v>0</v>
      </c>
      <c r="K195" s="4">
        <v>0</v>
      </c>
      <c r="L195" s="4">
        <v>0.33600000000000002</v>
      </c>
      <c r="M195" s="4">
        <v>0.13439999999999999</v>
      </c>
      <c r="N195" s="4">
        <v>0.33600000000000002</v>
      </c>
      <c r="O195" s="4">
        <v>0.13439999999999999</v>
      </c>
      <c r="P195" s="4">
        <v>0</v>
      </c>
      <c r="Q195" s="3" t="s">
        <v>26</v>
      </c>
      <c r="R195" s="3">
        <v>0</v>
      </c>
      <c r="S195" s="3" t="s">
        <v>187</v>
      </c>
      <c r="T195" s="3" t="s">
        <v>313</v>
      </c>
      <c r="U195" s="3">
        <v>0</v>
      </c>
      <c r="V195" s="3">
        <v>32</v>
      </c>
      <c r="W195" s="3">
        <v>52</v>
      </c>
    </row>
    <row r="196" spans="1:23" ht="11.25" customHeight="1" x14ac:dyDescent="0.25">
      <c r="A196" s="3" t="s">
        <v>21</v>
      </c>
      <c r="B196" s="3" t="s">
        <v>40</v>
      </c>
      <c r="C196" s="3" t="s">
        <v>23</v>
      </c>
      <c r="D196" s="3" t="s">
        <v>41</v>
      </c>
      <c r="E196" s="3" t="s">
        <v>53</v>
      </c>
      <c r="F196" s="3" t="s">
        <v>52</v>
      </c>
      <c r="G196" s="3" t="s">
        <v>25</v>
      </c>
      <c r="H196" s="3" t="s">
        <v>25</v>
      </c>
      <c r="I196" s="6">
        <v>44562</v>
      </c>
      <c r="J196" s="4">
        <v>0</v>
      </c>
      <c r="K196" s="4">
        <v>0</v>
      </c>
      <c r="L196" s="4">
        <v>8.5000000000000006E-2</v>
      </c>
      <c r="M196" s="4">
        <v>3.4000000000000002E-2</v>
      </c>
      <c r="N196" s="4">
        <v>8.5000000000000006E-2</v>
      </c>
      <c r="O196" s="4">
        <v>3.4000000000000002E-2</v>
      </c>
      <c r="P196" s="4">
        <v>0</v>
      </c>
      <c r="Q196" s="3" t="s">
        <v>26</v>
      </c>
      <c r="R196" s="3">
        <v>0</v>
      </c>
      <c r="S196" s="3" t="s">
        <v>188</v>
      </c>
      <c r="T196" s="3" t="s">
        <v>314</v>
      </c>
      <c r="U196" s="3">
        <v>0</v>
      </c>
      <c r="V196" s="3">
        <v>32</v>
      </c>
      <c r="W196" s="3">
        <v>52</v>
      </c>
    </row>
    <row r="197" spans="1:23" ht="11.25" customHeight="1" x14ac:dyDescent="0.25">
      <c r="A197" s="3" t="s">
        <v>21</v>
      </c>
      <c r="B197" s="3" t="s">
        <v>40</v>
      </c>
      <c r="C197" s="3" t="s">
        <v>23</v>
      </c>
      <c r="D197" s="3" t="s">
        <v>41</v>
      </c>
      <c r="E197" s="3" t="s">
        <v>53</v>
      </c>
      <c r="F197" s="3" t="s">
        <v>52</v>
      </c>
      <c r="G197" s="3" t="s">
        <v>25</v>
      </c>
      <c r="H197" s="3" t="s">
        <v>25</v>
      </c>
      <c r="I197" s="6">
        <v>44593</v>
      </c>
      <c r="J197" s="4">
        <v>0</v>
      </c>
      <c r="K197" s="4">
        <v>0</v>
      </c>
      <c r="L197" s="4">
        <v>8.3000000000000004E-2</v>
      </c>
      <c r="M197" s="4">
        <v>3.32E-2</v>
      </c>
      <c r="N197" s="4">
        <v>8.3000000000000004E-2</v>
      </c>
      <c r="O197" s="4">
        <v>3.32E-2</v>
      </c>
      <c r="P197" s="4">
        <v>0</v>
      </c>
      <c r="Q197" s="3" t="s">
        <v>26</v>
      </c>
      <c r="R197" s="3">
        <v>0</v>
      </c>
      <c r="S197" s="3" t="s">
        <v>189</v>
      </c>
      <c r="T197" s="3" t="s">
        <v>315</v>
      </c>
      <c r="U197" s="3">
        <v>0</v>
      </c>
      <c r="V197" s="3">
        <v>32</v>
      </c>
      <c r="W197" s="3">
        <v>52</v>
      </c>
    </row>
    <row r="198" spans="1:23" ht="11.25" customHeight="1" x14ac:dyDescent="0.25">
      <c r="A198" s="3" t="s">
        <v>21</v>
      </c>
      <c r="B198" s="3" t="s">
        <v>40</v>
      </c>
      <c r="C198" s="3" t="s">
        <v>23</v>
      </c>
      <c r="D198" s="3" t="s">
        <v>41</v>
      </c>
      <c r="E198" s="3" t="s">
        <v>50</v>
      </c>
      <c r="F198" s="3" t="s">
        <v>51</v>
      </c>
      <c r="G198" s="3" t="s">
        <v>25</v>
      </c>
      <c r="H198" s="3" t="s">
        <v>25</v>
      </c>
      <c r="I198" s="6">
        <v>44440</v>
      </c>
      <c r="J198" s="4">
        <v>0</v>
      </c>
      <c r="K198" s="4">
        <v>0</v>
      </c>
      <c r="L198" s="4">
        <v>0.10100000000000001</v>
      </c>
      <c r="M198" s="4">
        <v>0.10100000000000001</v>
      </c>
      <c r="N198" s="4">
        <v>0.10100000000000001</v>
      </c>
      <c r="O198" s="4">
        <v>0.10100000000000001</v>
      </c>
      <c r="P198" s="4">
        <v>0</v>
      </c>
      <c r="Q198" s="3" t="s">
        <v>26</v>
      </c>
      <c r="R198" s="3">
        <v>0</v>
      </c>
      <c r="S198" s="3" t="s">
        <v>192</v>
      </c>
      <c r="T198" s="3" t="s">
        <v>318</v>
      </c>
      <c r="U198" s="3">
        <v>0</v>
      </c>
      <c r="V198" s="3">
        <v>32</v>
      </c>
      <c r="W198" s="3">
        <v>52</v>
      </c>
    </row>
    <row r="199" spans="1:23" ht="11.25" customHeight="1" x14ac:dyDescent="0.25">
      <c r="A199" s="3" t="s">
        <v>21</v>
      </c>
      <c r="B199" s="3" t="s">
        <v>40</v>
      </c>
      <c r="C199" s="3" t="s">
        <v>23</v>
      </c>
      <c r="D199" s="3" t="s">
        <v>41</v>
      </c>
      <c r="E199" s="3" t="s">
        <v>50</v>
      </c>
      <c r="F199" s="3" t="s">
        <v>51</v>
      </c>
      <c r="G199" s="3" t="s">
        <v>25</v>
      </c>
      <c r="H199" s="3" t="s">
        <v>25</v>
      </c>
      <c r="I199" s="6">
        <v>44470</v>
      </c>
      <c r="J199" s="4">
        <v>0</v>
      </c>
      <c r="K199" s="4">
        <v>0</v>
      </c>
      <c r="L199" s="4">
        <v>8.7999999999999995E-2</v>
      </c>
      <c r="M199" s="4">
        <v>8.7999999999999995E-2</v>
      </c>
      <c r="N199" s="4">
        <v>8.7999999999999995E-2</v>
      </c>
      <c r="O199" s="4">
        <v>8.7999999999999995E-2</v>
      </c>
      <c r="P199" s="4">
        <v>0</v>
      </c>
      <c r="Q199" s="3" t="s">
        <v>26</v>
      </c>
      <c r="R199" s="3">
        <v>0</v>
      </c>
      <c r="S199" s="3" t="s">
        <v>193</v>
      </c>
      <c r="T199" s="3" t="s">
        <v>319</v>
      </c>
      <c r="U199" s="3">
        <v>0</v>
      </c>
      <c r="V199" s="3">
        <v>32</v>
      </c>
      <c r="W199" s="3">
        <v>52</v>
      </c>
    </row>
    <row r="200" spans="1:23" ht="11.25" customHeight="1" x14ac:dyDescent="0.25">
      <c r="A200" s="3" t="s">
        <v>21</v>
      </c>
      <c r="B200" s="3" t="s">
        <v>40</v>
      </c>
      <c r="C200" s="3" t="s">
        <v>23</v>
      </c>
      <c r="D200" s="3" t="s">
        <v>41</v>
      </c>
      <c r="E200" s="3" t="s">
        <v>50</v>
      </c>
      <c r="F200" s="3" t="s">
        <v>51</v>
      </c>
      <c r="G200" s="3" t="s">
        <v>25</v>
      </c>
      <c r="H200" s="3" t="s">
        <v>25</v>
      </c>
      <c r="I200" s="6">
        <v>44501</v>
      </c>
      <c r="J200" s="4">
        <v>0</v>
      </c>
      <c r="K200" s="4">
        <v>0</v>
      </c>
      <c r="L200" s="4">
        <v>0.124</v>
      </c>
      <c r="M200" s="4">
        <v>0.124</v>
      </c>
      <c r="N200" s="4">
        <v>0.124</v>
      </c>
      <c r="O200" s="4">
        <v>0.124</v>
      </c>
      <c r="P200" s="4">
        <v>0</v>
      </c>
      <c r="Q200" s="3" t="s">
        <v>26</v>
      </c>
      <c r="R200" s="3">
        <v>0</v>
      </c>
      <c r="S200" s="3" t="s">
        <v>194</v>
      </c>
      <c r="T200" s="3" t="s">
        <v>320</v>
      </c>
      <c r="U200" s="3">
        <v>0</v>
      </c>
      <c r="V200" s="3">
        <v>32</v>
      </c>
      <c r="W200" s="3">
        <v>52</v>
      </c>
    </row>
    <row r="201" spans="1:23" ht="11.25" customHeight="1" x14ac:dyDescent="0.25">
      <c r="A201" s="3" t="s">
        <v>21</v>
      </c>
      <c r="B201" s="3" t="s">
        <v>40</v>
      </c>
      <c r="C201" s="3" t="s">
        <v>23</v>
      </c>
      <c r="D201" s="3" t="s">
        <v>41</v>
      </c>
      <c r="E201" s="3" t="s">
        <v>50</v>
      </c>
      <c r="F201" s="3" t="s">
        <v>51</v>
      </c>
      <c r="G201" s="3" t="s">
        <v>25</v>
      </c>
      <c r="H201" s="3" t="s">
        <v>25</v>
      </c>
      <c r="I201" s="6">
        <v>44531</v>
      </c>
      <c r="J201" s="4">
        <v>0</v>
      </c>
      <c r="K201" s="4">
        <v>0</v>
      </c>
      <c r="L201" s="4">
        <v>0.498</v>
      </c>
      <c r="M201" s="4">
        <v>0.498</v>
      </c>
      <c r="N201" s="4">
        <v>0.498</v>
      </c>
      <c r="O201" s="4">
        <v>0.498</v>
      </c>
      <c r="P201" s="4">
        <v>0</v>
      </c>
      <c r="Q201" s="3" t="s">
        <v>26</v>
      </c>
      <c r="R201" s="3">
        <v>0</v>
      </c>
      <c r="S201" s="3" t="s">
        <v>187</v>
      </c>
      <c r="T201" s="3" t="s">
        <v>313</v>
      </c>
      <c r="U201" s="3">
        <v>0</v>
      </c>
      <c r="V201" s="3">
        <v>32</v>
      </c>
      <c r="W201" s="3">
        <v>52</v>
      </c>
    </row>
    <row r="202" spans="1:23" ht="11.25" customHeight="1" x14ac:dyDescent="0.25">
      <c r="A202" s="3" t="s">
        <v>21</v>
      </c>
      <c r="B202" s="3" t="s">
        <v>40</v>
      </c>
      <c r="C202" s="3" t="s">
        <v>23</v>
      </c>
      <c r="D202" s="3" t="s">
        <v>41</v>
      </c>
      <c r="E202" s="3" t="s">
        <v>50</v>
      </c>
      <c r="F202" s="3" t="s">
        <v>51</v>
      </c>
      <c r="G202" s="3" t="s">
        <v>25</v>
      </c>
      <c r="H202" s="3" t="s">
        <v>25</v>
      </c>
      <c r="I202" s="6">
        <v>44562</v>
      </c>
      <c r="J202" s="4">
        <v>0</v>
      </c>
      <c r="K202" s="4">
        <v>0</v>
      </c>
      <c r="L202" s="4">
        <v>0.59199999999999997</v>
      </c>
      <c r="M202" s="4">
        <v>0.59199999999999997</v>
      </c>
      <c r="N202" s="4">
        <v>0.59199999999999997</v>
      </c>
      <c r="O202" s="4">
        <v>0.59199999999999997</v>
      </c>
      <c r="P202" s="4">
        <v>0</v>
      </c>
      <c r="Q202" s="3" t="s">
        <v>26</v>
      </c>
      <c r="R202" s="3">
        <v>0</v>
      </c>
      <c r="S202" s="3" t="s">
        <v>188</v>
      </c>
      <c r="T202" s="3" t="s">
        <v>314</v>
      </c>
      <c r="U202" s="3">
        <v>0</v>
      </c>
      <c r="V202" s="3">
        <v>32</v>
      </c>
      <c r="W202" s="3">
        <v>52</v>
      </c>
    </row>
    <row r="203" spans="1:23" ht="11.25" customHeight="1" x14ac:dyDescent="0.25">
      <c r="A203" s="3" t="s">
        <v>21</v>
      </c>
      <c r="B203" s="3" t="s">
        <v>40</v>
      </c>
      <c r="C203" s="3" t="s">
        <v>23</v>
      </c>
      <c r="D203" s="3" t="s">
        <v>41</v>
      </c>
      <c r="E203" s="3" t="s">
        <v>50</v>
      </c>
      <c r="F203" s="3" t="s">
        <v>51</v>
      </c>
      <c r="G203" s="3" t="s">
        <v>25</v>
      </c>
      <c r="H203" s="3" t="s">
        <v>25</v>
      </c>
      <c r="I203" s="6">
        <v>44593</v>
      </c>
      <c r="J203" s="4">
        <v>0</v>
      </c>
      <c r="K203" s="4">
        <v>0</v>
      </c>
      <c r="L203" s="4">
        <v>0.72699999999999998</v>
      </c>
      <c r="M203" s="4">
        <v>0.72699999999999998</v>
      </c>
      <c r="N203" s="4">
        <v>0.72699999999999998</v>
      </c>
      <c r="O203" s="4">
        <v>0.72699999999999998</v>
      </c>
      <c r="P203" s="4">
        <v>0</v>
      </c>
      <c r="Q203" s="3" t="s">
        <v>26</v>
      </c>
      <c r="R203" s="3">
        <v>0</v>
      </c>
      <c r="S203" s="3" t="s">
        <v>189</v>
      </c>
      <c r="T203" s="3" t="s">
        <v>315</v>
      </c>
      <c r="U203" s="3">
        <v>0</v>
      </c>
      <c r="V203" s="3">
        <v>32</v>
      </c>
      <c r="W203" s="3">
        <v>52</v>
      </c>
    </row>
    <row r="204" spans="1:23" ht="11.25" customHeight="1" x14ac:dyDescent="0.25">
      <c r="A204" s="3" t="s">
        <v>21</v>
      </c>
      <c r="B204" s="3" t="s">
        <v>40</v>
      </c>
      <c r="C204" s="3" t="s">
        <v>23</v>
      </c>
      <c r="D204" s="3" t="s">
        <v>41</v>
      </c>
      <c r="E204" s="3" t="s">
        <v>50</v>
      </c>
      <c r="F204" s="3" t="s">
        <v>51</v>
      </c>
      <c r="G204" s="3" t="s">
        <v>25</v>
      </c>
      <c r="H204" s="3" t="s">
        <v>25</v>
      </c>
      <c r="I204" s="6">
        <v>44621</v>
      </c>
      <c r="J204" s="4">
        <v>0</v>
      </c>
      <c r="K204" s="4">
        <v>0</v>
      </c>
      <c r="L204" s="4">
        <v>0.96099999999999997</v>
      </c>
      <c r="M204" s="4">
        <v>0.96099999999999997</v>
      </c>
      <c r="N204" s="4">
        <v>0.96099999999999997</v>
      </c>
      <c r="O204" s="4">
        <v>0.96099999999999997</v>
      </c>
      <c r="P204" s="4">
        <v>0</v>
      </c>
      <c r="Q204" s="3" t="s">
        <v>26</v>
      </c>
      <c r="R204" s="3">
        <v>0</v>
      </c>
      <c r="S204" s="3" t="s">
        <v>190</v>
      </c>
      <c r="T204" s="3" t="s">
        <v>316</v>
      </c>
      <c r="U204" s="3">
        <v>0</v>
      </c>
      <c r="V204" s="3">
        <v>32</v>
      </c>
      <c r="W204" s="3">
        <v>52</v>
      </c>
    </row>
    <row r="205" spans="1:23" ht="11.25" customHeight="1" x14ac:dyDescent="0.25">
      <c r="A205" s="3" t="s">
        <v>21</v>
      </c>
      <c r="B205" s="3" t="s">
        <v>40</v>
      </c>
      <c r="C205" s="3" t="s">
        <v>23</v>
      </c>
      <c r="D205" s="3" t="s">
        <v>41</v>
      </c>
      <c r="E205" s="3" t="s">
        <v>50</v>
      </c>
      <c r="F205" s="3" t="s">
        <v>51</v>
      </c>
      <c r="G205" s="3" t="s">
        <v>25</v>
      </c>
      <c r="H205" s="3" t="s">
        <v>25</v>
      </c>
      <c r="I205" s="6">
        <v>44652</v>
      </c>
      <c r="J205" s="4">
        <v>0</v>
      </c>
      <c r="K205" s="4">
        <v>0</v>
      </c>
      <c r="L205" s="4">
        <v>0.92700000000000005</v>
      </c>
      <c r="M205" s="4">
        <v>0.92700000000000005</v>
      </c>
      <c r="N205" s="4">
        <v>0.92700000000000005</v>
      </c>
      <c r="O205" s="4">
        <v>0.92700000000000005</v>
      </c>
      <c r="P205" s="4">
        <v>0</v>
      </c>
      <c r="Q205" s="3" t="s">
        <v>26</v>
      </c>
      <c r="R205" s="3">
        <v>0</v>
      </c>
      <c r="S205" s="3" t="s">
        <v>191</v>
      </c>
      <c r="T205" s="3" t="s">
        <v>317</v>
      </c>
      <c r="U205" s="3">
        <v>0</v>
      </c>
      <c r="V205" s="3">
        <v>32</v>
      </c>
      <c r="W205" s="3">
        <v>52</v>
      </c>
    </row>
    <row r="206" spans="1:23" ht="11.25" customHeight="1" x14ac:dyDescent="0.25">
      <c r="A206" s="3" t="s">
        <v>21</v>
      </c>
      <c r="B206" s="3" t="s">
        <v>40</v>
      </c>
      <c r="C206" s="3" t="s">
        <v>23</v>
      </c>
      <c r="D206" s="3" t="s">
        <v>41</v>
      </c>
      <c r="E206" s="3" t="s">
        <v>50</v>
      </c>
      <c r="F206" s="3" t="s">
        <v>51</v>
      </c>
      <c r="G206" s="3" t="s">
        <v>25</v>
      </c>
      <c r="H206" s="3" t="s">
        <v>25</v>
      </c>
      <c r="I206" s="6">
        <v>44682</v>
      </c>
      <c r="J206" s="4">
        <v>0</v>
      </c>
      <c r="K206" s="4">
        <v>0</v>
      </c>
      <c r="L206" s="4">
        <v>1.026</v>
      </c>
      <c r="M206" s="4">
        <v>1.026</v>
      </c>
      <c r="N206" s="4">
        <v>1.026</v>
      </c>
      <c r="O206" s="4">
        <v>1.026</v>
      </c>
      <c r="P206" s="4">
        <v>0</v>
      </c>
      <c r="Q206" s="3" t="s">
        <v>26</v>
      </c>
      <c r="R206" s="3">
        <v>0</v>
      </c>
      <c r="S206" s="3" t="s">
        <v>195</v>
      </c>
      <c r="T206" s="3" t="s">
        <v>321</v>
      </c>
      <c r="U206" s="3">
        <v>0</v>
      </c>
      <c r="V206" s="3">
        <v>32</v>
      </c>
      <c r="W206" s="3">
        <v>52</v>
      </c>
    </row>
    <row r="207" spans="1:23" ht="11.25" customHeight="1" x14ac:dyDescent="0.25">
      <c r="A207" s="3" t="s">
        <v>21</v>
      </c>
      <c r="B207" s="3" t="s">
        <v>40</v>
      </c>
      <c r="C207" s="3" t="s">
        <v>23</v>
      </c>
      <c r="D207" s="3" t="s">
        <v>41</v>
      </c>
      <c r="E207" s="3" t="s">
        <v>50</v>
      </c>
      <c r="F207" s="3" t="s">
        <v>51</v>
      </c>
      <c r="G207" s="3" t="s">
        <v>25</v>
      </c>
      <c r="H207" s="3" t="s">
        <v>25</v>
      </c>
      <c r="I207" s="6">
        <v>44713</v>
      </c>
      <c r="J207" s="4">
        <v>0</v>
      </c>
      <c r="K207" s="4">
        <v>0</v>
      </c>
      <c r="L207" s="4">
        <v>1.052</v>
      </c>
      <c r="M207" s="4">
        <v>1.052</v>
      </c>
      <c r="N207" s="4">
        <v>1.052</v>
      </c>
      <c r="O207" s="4">
        <v>1.052</v>
      </c>
      <c r="P207" s="4">
        <v>0</v>
      </c>
      <c r="Q207" s="3" t="s">
        <v>26</v>
      </c>
      <c r="R207" s="3">
        <v>0</v>
      </c>
      <c r="S207" s="3" t="s">
        <v>196</v>
      </c>
      <c r="T207" s="3" t="s">
        <v>322</v>
      </c>
      <c r="U207" s="3">
        <v>0</v>
      </c>
      <c r="V207" s="3">
        <v>32</v>
      </c>
      <c r="W207" s="3">
        <v>52</v>
      </c>
    </row>
    <row r="208" spans="1:23" ht="11.25" customHeight="1" x14ac:dyDescent="0.25">
      <c r="A208" s="3" t="s">
        <v>21</v>
      </c>
      <c r="B208" s="3" t="s">
        <v>40</v>
      </c>
      <c r="C208" s="3" t="s">
        <v>23</v>
      </c>
      <c r="D208" s="3" t="s">
        <v>41</v>
      </c>
      <c r="E208" s="3" t="s">
        <v>50</v>
      </c>
      <c r="F208" s="3" t="s">
        <v>51</v>
      </c>
      <c r="G208" s="3" t="s">
        <v>25</v>
      </c>
      <c r="H208" s="3" t="s">
        <v>25</v>
      </c>
      <c r="I208" s="6">
        <v>44743</v>
      </c>
      <c r="J208" s="4">
        <v>0</v>
      </c>
      <c r="K208" s="4">
        <v>0</v>
      </c>
      <c r="L208" s="4">
        <v>0.86399999999999999</v>
      </c>
      <c r="M208" s="4">
        <v>0.86399999999999999</v>
      </c>
      <c r="N208" s="4">
        <v>0.86399999999999999</v>
      </c>
      <c r="O208" s="4">
        <v>0.86399999999999999</v>
      </c>
      <c r="P208" s="4">
        <v>0</v>
      </c>
      <c r="Q208" s="3" t="s">
        <v>26</v>
      </c>
      <c r="R208" s="3">
        <v>0</v>
      </c>
      <c r="S208" s="3" t="s">
        <v>197</v>
      </c>
      <c r="T208" s="3" t="s">
        <v>323</v>
      </c>
      <c r="U208" s="3">
        <v>0</v>
      </c>
      <c r="V208" s="3">
        <v>32</v>
      </c>
      <c r="W208" s="3">
        <v>52</v>
      </c>
    </row>
    <row r="209" spans="1:23" ht="11.25" customHeight="1" x14ac:dyDescent="0.25">
      <c r="A209" s="3" t="s">
        <v>21</v>
      </c>
      <c r="B209" s="3" t="s">
        <v>40</v>
      </c>
      <c r="C209" s="3" t="s">
        <v>23</v>
      </c>
      <c r="D209" s="3" t="s">
        <v>41</v>
      </c>
      <c r="E209" s="3" t="s">
        <v>50</v>
      </c>
      <c r="F209" s="3" t="s">
        <v>51</v>
      </c>
      <c r="G209" s="3" t="s">
        <v>25</v>
      </c>
      <c r="H209" s="3" t="s">
        <v>25</v>
      </c>
      <c r="I209" s="6">
        <v>44774</v>
      </c>
      <c r="J209" s="4">
        <v>0</v>
      </c>
      <c r="K209" s="4">
        <v>0</v>
      </c>
      <c r="L209" s="4">
        <v>1.3160000000000001</v>
      </c>
      <c r="M209" s="4">
        <v>1.3160000000000001</v>
      </c>
      <c r="N209" s="4">
        <v>1.3160000000000001</v>
      </c>
      <c r="O209" s="4">
        <v>1.3160000000000001</v>
      </c>
      <c r="P209" s="4">
        <v>0</v>
      </c>
      <c r="Q209" s="3" t="s">
        <v>26</v>
      </c>
      <c r="R209" s="3">
        <v>0</v>
      </c>
      <c r="S209" s="3" t="s">
        <v>198</v>
      </c>
      <c r="T209" s="3" t="s">
        <v>324</v>
      </c>
      <c r="U209" s="3">
        <v>0</v>
      </c>
      <c r="V209" s="3">
        <v>32</v>
      </c>
      <c r="W209" s="3">
        <v>52</v>
      </c>
    </row>
    <row r="210" spans="1:23" ht="11.25" customHeight="1" x14ac:dyDescent="0.25">
      <c r="A210" s="3" t="s">
        <v>21</v>
      </c>
      <c r="B210" s="3" t="s">
        <v>40</v>
      </c>
      <c r="C210" s="3" t="s">
        <v>23</v>
      </c>
      <c r="D210" s="3" t="s">
        <v>41</v>
      </c>
      <c r="E210" s="3" t="s">
        <v>50</v>
      </c>
      <c r="F210" s="3" t="s">
        <v>52</v>
      </c>
      <c r="G210" s="3" t="s">
        <v>25</v>
      </c>
      <c r="H210" s="3" t="s">
        <v>25</v>
      </c>
      <c r="I210" s="6">
        <v>44440</v>
      </c>
      <c r="J210" s="4">
        <v>0</v>
      </c>
      <c r="K210" s="4">
        <v>0</v>
      </c>
      <c r="L210" s="4">
        <v>0.11799999999999999</v>
      </c>
      <c r="M210" s="4">
        <v>4.7199999999999999E-2</v>
      </c>
      <c r="N210" s="4">
        <v>0.11799999999999999</v>
      </c>
      <c r="O210" s="4">
        <v>4.7199999999999999E-2</v>
      </c>
      <c r="P210" s="4">
        <v>0</v>
      </c>
      <c r="Q210" s="3" t="s">
        <v>26</v>
      </c>
      <c r="R210" s="3">
        <v>0</v>
      </c>
      <c r="S210" s="3" t="s">
        <v>192</v>
      </c>
      <c r="T210" s="3" t="s">
        <v>318</v>
      </c>
      <c r="U210" s="3">
        <v>0</v>
      </c>
      <c r="V210" s="3">
        <v>32</v>
      </c>
      <c r="W210" s="3">
        <v>52</v>
      </c>
    </row>
    <row r="211" spans="1:23" ht="11.25" customHeight="1" x14ac:dyDescent="0.25">
      <c r="A211" s="3" t="s">
        <v>21</v>
      </c>
      <c r="B211" s="3" t="s">
        <v>40</v>
      </c>
      <c r="C211" s="3" t="s">
        <v>23</v>
      </c>
      <c r="D211" s="3" t="s">
        <v>41</v>
      </c>
      <c r="E211" s="3" t="s">
        <v>50</v>
      </c>
      <c r="F211" s="3" t="s">
        <v>52</v>
      </c>
      <c r="G211" s="3" t="s">
        <v>25</v>
      </c>
      <c r="H211" s="3" t="s">
        <v>25</v>
      </c>
      <c r="I211" s="6">
        <v>44470</v>
      </c>
      <c r="J211" s="4">
        <v>0</v>
      </c>
      <c r="K211" s="4">
        <v>0</v>
      </c>
      <c r="L211" s="4">
        <v>0.114</v>
      </c>
      <c r="M211" s="4">
        <v>4.5600000000000002E-2</v>
      </c>
      <c r="N211" s="4">
        <v>0.114</v>
      </c>
      <c r="O211" s="4">
        <v>4.5600000000000002E-2</v>
      </c>
      <c r="P211" s="4">
        <v>0</v>
      </c>
      <c r="Q211" s="3" t="s">
        <v>26</v>
      </c>
      <c r="R211" s="3">
        <v>0</v>
      </c>
      <c r="S211" s="3" t="s">
        <v>193</v>
      </c>
      <c r="T211" s="3" t="s">
        <v>319</v>
      </c>
      <c r="U211" s="3">
        <v>0</v>
      </c>
      <c r="V211" s="3">
        <v>32</v>
      </c>
      <c r="W211" s="3">
        <v>52</v>
      </c>
    </row>
    <row r="212" spans="1:23" ht="11.25" customHeight="1" x14ac:dyDescent="0.25">
      <c r="A212" s="3" t="s">
        <v>21</v>
      </c>
      <c r="B212" s="3" t="s">
        <v>40</v>
      </c>
      <c r="C212" s="3" t="s">
        <v>23</v>
      </c>
      <c r="D212" s="3" t="s">
        <v>41</v>
      </c>
      <c r="E212" s="3" t="s">
        <v>50</v>
      </c>
      <c r="F212" s="3" t="s">
        <v>52</v>
      </c>
      <c r="G212" s="3" t="s">
        <v>25</v>
      </c>
      <c r="H212" s="3" t="s">
        <v>25</v>
      </c>
      <c r="I212" s="6">
        <v>44501</v>
      </c>
      <c r="J212" s="4">
        <v>0</v>
      </c>
      <c r="K212" s="4">
        <v>0</v>
      </c>
      <c r="L212" s="4">
        <v>0.16900000000000001</v>
      </c>
      <c r="M212" s="4">
        <v>6.7599999999999993E-2</v>
      </c>
      <c r="N212" s="4">
        <v>0.16900000000000001</v>
      </c>
      <c r="O212" s="4">
        <v>6.7599999999999993E-2</v>
      </c>
      <c r="P212" s="4">
        <v>0</v>
      </c>
      <c r="Q212" s="3" t="s">
        <v>26</v>
      </c>
      <c r="R212" s="3">
        <v>0</v>
      </c>
      <c r="S212" s="3" t="s">
        <v>194</v>
      </c>
      <c r="T212" s="3" t="s">
        <v>320</v>
      </c>
      <c r="U212" s="3">
        <v>0</v>
      </c>
      <c r="V212" s="3">
        <v>32</v>
      </c>
      <c r="W212" s="3">
        <v>52</v>
      </c>
    </row>
    <row r="213" spans="1:23" ht="11.25" customHeight="1" x14ac:dyDescent="0.25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50</v>
      </c>
      <c r="F213" s="3" t="s">
        <v>52</v>
      </c>
      <c r="G213" s="3" t="s">
        <v>25</v>
      </c>
      <c r="H213" s="3" t="s">
        <v>25</v>
      </c>
      <c r="I213" s="6">
        <v>44531</v>
      </c>
      <c r="J213" s="4">
        <v>0</v>
      </c>
      <c r="K213" s="4">
        <v>0</v>
      </c>
      <c r="L213" s="4">
        <v>0.79300000000000004</v>
      </c>
      <c r="M213" s="4">
        <v>0.31719999999999998</v>
      </c>
      <c r="N213" s="4">
        <v>0.79300000000000004</v>
      </c>
      <c r="O213" s="4">
        <v>0.31719999999999998</v>
      </c>
      <c r="P213" s="4">
        <v>0</v>
      </c>
      <c r="Q213" s="3" t="s">
        <v>26</v>
      </c>
      <c r="R213" s="3">
        <v>0</v>
      </c>
      <c r="S213" s="3" t="s">
        <v>187</v>
      </c>
      <c r="T213" s="3" t="s">
        <v>313</v>
      </c>
      <c r="U213" s="3">
        <v>0</v>
      </c>
      <c r="V213" s="3">
        <v>32</v>
      </c>
      <c r="W213" s="3">
        <v>52</v>
      </c>
    </row>
    <row r="214" spans="1:23" ht="11.25" customHeight="1" x14ac:dyDescent="0.25">
      <c r="A214" s="3" t="s">
        <v>21</v>
      </c>
      <c r="B214" s="3" t="s">
        <v>40</v>
      </c>
      <c r="C214" s="3" t="s">
        <v>23</v>
      </c>
      <c r="D214" s="3" t="s">
        <v>41</v>
      </c>
      <c r="E214" s="3" t="s">
        <v>50</v>
      </c>
      <c r="F214" s="3" t="s">
        <v>52</v>
      </c>
      <c r="G214" s="3" t="s">
        <v>25</v>
      </c>
      <c r="H214" s="3" t="s">
        <v>25</v>
      </c>
      <c r="I214" s="6">
        <v>44562</v>
      </c>
      <c r="J214" s="4">
        <v>0</v>
      </c>
      <c r="K214" s="4">
        <v>0</v>
      </c>
      <c r="L214" s="4">
        <v>1.845</v>
      </c>
      <c r="M214" s="4">
        <v>0.73799999999999999</v>
      </c>
      <c r="N214" s="4">
        <v>1.845</v>
      </c>
      <c r="O214" s="4">
        <v>0.73799999999999999</v>
      </c>
      <c r="P214" s="4">
        <v>0</v>
      </c>
      <c r="Q214" s="3" t="s">
        <v>26</v>
      </c>
      <c r="R214" s="3">
        <v>0</v>
      </c>
      <c r="S214" s="3" t="s">
        <v>188</v>
      </c>
      <c r="T214" s="3" t="s">
        <v>314</v>
      </c>
      <c r="U214" s="3">
        <v>0</v>
      </c>
      <c r="V214" s="3">
        <v>32</v>
      </c>
      <c r="W214" s="3">
        <v>52</v>
      </c>
    </row>
    <row r="215" spans="1:23" ht="11.25" customHeight="1" x14ac:dyDescent="0.25">
      <c r="A215" s="3" t="s">
        <v>21</v>
      </c>
      <c r="B215" s="3" t="s">
        <v>40</v>
      </c>
      <c r="C215" s="3" t="s">
        <v>23</v>
      </c>
      <c r="D215" s="3" t="s">
        <v>41</v>
      </c>
      <c r="E215" s="3" t="s">
        <v>50</v>
      </c>
      <c r="F215" s="3" t="s">
        <v>52</v>
      </c>
      <c r="G215" s="3" t="s">
        <v>25</v>
      </c>
      <c r="H215" s="3" t="s">
        <v>25</v>
      </c>
      <c r="I215" s="6">
        <v>44593</v>
      </c>
      <c r="J215" s="4">
        <v>0</v>
      </c>
      <c r="K215" s="4">
        <v>0</v>
      </c>
      <c r="L215" s="4">
        <v>1.7969999999999999</v>
      </c>
      <c r="M215" s="4">
        <v>0.71879999999999999</v>
      </c>
      <c r="N215" s="4">
        <v>1.7969999999999999</v>
      </c>
      <c r="O215" s="4">
        <v>0.71879999999999999</v>
      </c>
      <c r="P215" s="4">
        <v>0</v>
      </c>
      <c r="Q215" s="3" t="s">
        <v>26</v>
      </c>
      <c r="R215" s="3">
        <v>0</v>
      </c>
      <c r="S215" s="3" t="s">
        <v>189</v>
      </c>
      <c r="T215" s="3" t="s">
        <v>315</v>
      </c>
      <c r="U215" s="3">
        <v>0</v>
      </c>
      <c r="V215" s="3">
        <v>32</v>
      </c>
      <c r="W215" s="3">
        <v>52</v>
      </c>
    </row>
    <row r="216" spans="1:23" ht="11.25" customHeight="1" x14ac:dyDescent="0.25">
      <c r="A216" s="3" t="s">
        <v>21</v>
      </c>
      <c r="B216" s="3" t="s">
        <v>40</v>
      </c>
      <c r="C216" s="3" t="s">
        <v>23</v>
      </c>
      <c r="D216" s="3" t="s">
        <v>41</v>
      </c>
      <c r="E216" s="3" t="s">
        <v>50</v>
      </c>
      <c r="F216" s="3" t="s">
        <v>52</v>
      </c>
      <c r="G216" s="3" t="s">
        <v>25</v>
      </c>
      <c r="H216" s="3" t="s">
        <v>25</v>
      </c>
      <c r="I216" s="6">
        <v>44621</v>
      </c>
      <c r="J216" s="4">
        <v>0</v>
      </c>
      <c r="K216" s="4">
        <v>0</v>
      </c>
      <c r="L216" s="4">
        <v>2.5939999999999999</v>
      </c>
      <c r="M216" s="4">
        <v>1.0376000000000001</v>
      </c>
      <c r="N216" s="4">
        <v>2.5939999999999999</v>
      </c>
      <c r="O216" s="4">
        <v>1.0376000000000001</v>
      </c>
      <c r="P216" s="4">
        <v>0</v>
      </c>
      <c r="Q216" s="3" t="s">
        <v>26</v>
      </c>
      <c r="R216" s="3">
        <v>0</v>
      </c>
      <c r="S216" s="3" t="s">
        <v>190</v>
      </c>
      <c r="T216" s="3" t="s">
        <v>316</v>
      </c>
      <c r="U216" s="3">
        <v>0</v>
      </c>
      <c r="V216" s="3">
        <v>32</v>
      </c>
      <c r="W216" s="3">
        <v>52</v>
      </c>
    </row>
    <row r="217" spans="1:23" ht="11.25" customHeight="1" x14ac:dyDescent="0.25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50</v>
      </c>
      <c r="F217" s="3" t="s">
        <v>52</v>
      </c>
      <c r="G217" s="3" t="s">
        <v>25</v>
      </c>
      <c r="H217" s="3" t="s">
        <v>25</v>
      </c>
      <c r="I217" s="6">
        <v>44652</v>
      </c>
      <c r="J217" s="4">
        <v>0</v>
      </c>
      <c r="K217" s="4">
        <v>0</v>
      </c>
      <c r="L217" s="4">
        <v>3.2970000000000002</v>
      </c>
      <c r="M217" s="4">
        <v>1.3188</v>
      </c>
      <c r="N217" s="4">
        <v>3.2970000000000002</v>
      </c>
      <c r="O217" s="4">
        <v>1.3188</v>
      </c>
      <c r="P217" s="4">
        <v>0</v>
      </c>
      <c r="Q217" s="3" t="s">
        <v>26</v>
      </c>
      <c r="R217" s="3">
        <v>0</v>
      </c>
      <c r="S217" s="3" t="s">
        <v>191</v>
      </c>
      <c r="T217" s="3" t="s">
        <v>317</v>
      </c>
      <c r="U217" s="3">
        <v>0</v>
      </c>
      <c r="V217" s="3">
        <v>32</v>
      </c>
      <c r="W217" s="3">
        <v>52</v>
      </c>
    </row>
    <row r="218" spans="1:23" ht="11.25" customHeight="1" x14ac:dyDescent="0.25">
      <c r="A218" s="3" t="s">
        <v>21</v>
      </c>
      <c r="B218" s="3" t="s">
        <v>40</v>
      </c>
      <c r="C218" s="3" t="s">
        <v>23</v>
      </c>
      <c r="D218" s="3" t="s">
        <v>41</v>
      </c>
      <c r="E218" s="3" t="s">
        <v>50</v>
      </c>
      <c r="F218" s="3" t="s">
        <v>52</v>
      </c>
      <c r="G218" s="3" t="s">
        <v>25</v>
      </c>
      <c r="H218" s="3" t="s">
        <v>25</v>
      </c>
      <c r="I218" s="6">
        <v>44682</v>
      </c>
      <c r="J218" s="4">
        <v>0</v>
      </c>
      <c r="K218" s="4">
        <v>0</v>
      </c>
      <c r="L218" s="4">
        <v>2.9510000000000001</v>
      </c>
      <c r="M218" s="4">
        <v>1.1803999999999999</v>
      </c>
      <c r="N218" s="4">
        <v>2.9510000000000001</v>
      </c>
      <c r="O218" s="4">
        <v>1.1803999999999999</v>
      </c>
      <c r="P218" s="4">
        <v>0</v>
      </c>
      <c r="Q218" s="3" t="s">
        <v>26</v>
      </c>
      <c r="R218" s="3">
        <v>0</v>
      </c>
      <c r="S218" s="3" t="s">
        <v>195</v>
      </c>
      <c r="T218" s="3" t="s">
        <v>321</v>
      </c>
      <c r="U218" s="3">
        <v>0</v>
      </c>
      <c r="V218" s="3">
        <v>32</v>
      </c>
      <c r="W218" s="3">
        <v>52</v>
      </c>
    </row>
    <row r="219" spans="1:23" ht="11.25" customHeight="1" x14ac:dyDescent="0.25">
      <c r="A219" s="3" t="s">
        <v>21</v>
      </c>
      <c r="B219" s="3" t="s">
        <v>40</v>
      </c>
      <c r="C219" s="3" t="s">
        <v>23</v>
      </c>
      <c r="D219" s="3" t="s">
        <v>41</v>
      </c>
      <c r="E219" s="3" t="s">
        <v>50</v>
      </c>
      <c r="F219" s="3" t="s">
        <v>52</v>
      </c>
      <c r="G219" s="3" t="s">
        <v>25</v>
      </c>
      <c r="H219" s="3" t="s">
        <v>25</v>
      </c>
      <c r="I219" s="6">
        <v>44713</v>
      </c>
      <c r="J219" s="4">
        <v>0</v>
      </c>
      <c r="K219" s="4">
        <v>0</v>
      </c>
      <c r="L219" s="4">
        <v>3.1909999999999998</v>
      </c>
      <c r="M219" s="4">
        <v>1.2764</v>
      </c>
      <c r="N219" s="4">
        <v>3.1909999999999998</v>
      </c>
      <c r="O219" s="4">
        <v>1.2764</v>
      </c>
      <c r="P219" s="4">
        <v>0</v>
      </c>
      <c r="Q219" s="3" t="s">
        <v>26</v>
      </c>
      <c r="R219" s="3">
        <v>0</v>
      </c>
      <c r="S219" s="3" t="s">
        <v>196</v>
      </c>
      <c r="T219" s="3" t="s">
        <v>322</v>
      </c>
      <c r="U219" s="3">
        <v>0</v>
      </c>
      <c r="V219" s="3">
        <v>32</v>
      </c>
      <c r="W219" s="3">
        <v>52</v>
      </c>
    </row>
    <row r="220" spans="1:23" ht="11.25" customHeight="1" x14ac:dyDescent="0.25">
      <c r="A220" s="3" t="s">
        <v>21</v>
      </c>
      <c r="B220" s="3" t="s">
        <v>40</v>
      </c>
      <c r="C220" s="3" t="s">
        <v>23</v>
      </c>
      <c r="D220" s="3" t="s">
        <v>41</v>
      </c>
      <c r="E220" s="3" t="s">
        <v>50</v>
      </c>
      <c r="F220" s="3" t="s">
        <v>52</v>
      </c>
      <c r="G220" s="3" t="s">
        <v>25</v>
      </c>
      <c r="H220" s="3" t="s">
        <v>25</v>
      </c>
      <c r="I220" s="6">
        <v>44743</v>
      </c>
      <c r="J220" s="4">
        <v>0</v>
      </c>
      <c r="K220" s="4">
        <v>0</v>
      </c>
      <c r="L220" s="4">
        <v>2.5390000000000001</v>
      </c>
      <c r="M220" s="4">
        <v>1.0156000000000001</v>
      </c>
      <c r="N220" s="4">
        <v>2.5390000000000001</v>
      </c>
      <c r="O220" s="4">
        <v>1.0156000000000001</v>
      </c>
      <c r="P220" s="4">
        <v>0</v>
      </c>
      <c r="Q220" s="3" t="s">
        <v>26</v>
      </c>
      <c r="R220" s="3">
        <v>0</v>
      </c>
      <c r="S220" s="3" t="s">
        <v>197</v>
      </c>
      <c r="T220" s="3" t="s">
        <v>323</v>
      </c>
      <c r="U220" s="3">
        <v>0</v>
      </c>
      <c r="V220" s="3">
        <v>32</v>
      </c>
      <c r="W220" s="3">
        <v>52</v>
      </c>
    </row>
    <row r="221" spans="1:23" ht="11.25" customHeight="1" x14ac:dyDescent="0.25">
      <c r="A221" s="3" t="s">
        <v>21</v>
      </c>
      <c r="B221" s="3" t="s">
        <v>40</v>
      </c>
      <c r="C221" s="3" t="s">
        <v>23</v>
      </c>
      <c r="D221" s="3" t="s">
        <v>41</v>
      </c>
      <c r="E221" s="3" t="s">
        <v>50</v>
      </c>
      <c r="F221" s="3" t="s">
        <v>52</v>
      </c>
      <c r="G221" s="3" t="s">
        <v>25</v>
      </c>
      <c r="H221" s="3" t="s">
        <v>25</v>
      </c>
      <c r="I221" s="6">
        <v>44774</v>
      </c>
      <c r="J221" s="4">
        <v>0</v>
      </c>
      <c r="K221" s="4">
        <v>0</v>
      </c>
      <c r="L221" s="4">
        <v>3.1230000000000002</v>
      </c>
      <c r="M221" s="4">
        <v>1.2492000000000001</v>
      </c>
      <c r="N221" s="4">
        <v>3.1230000000000002</v>
      </c>
      <c r="O221" s="4">
        <v>1.2492000000000001</v>
      </c>
      <c r="P221" s="4">
        <v>0</v>
      </c>
      <c r="Q221" s="3" t="s">
        <v>26</v>
      </c>
      <c r="R221" s="3">
        <v>0</v>
      </c>
      <c r="S221" s="3" t="s">
        <v>198</v>
      </c>
      <c r="T221" s="3" t="s">
        <v>324</v>
      </c>
      <c r="U221" s="3">
        <v>0</v>
      </c>
      <c r="V221" s="3">
        <v>32</v>
      </c>
      <c r="W221" s="3">
        <v>52</v>
      </c>
    </row>
    <row r="222" spans="1:23" ht="11.25" customHeight="1" x14ac:dyDescent="0.25">
      <c r="A222" s="3" t="s">
        <v>21</v>
      </c>
      <c r="B222" s="3" t="s">
        <v>40</v>
      </c>
      <c r="C222" s="3" t="s">
        <v>23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25</v>
      </c>
      <c r="I222" s="6">
        <v>44440</v>
      </c>
      <c r="J222" s="4">
        <v>0</v>
      </c>
      <c r="K222" s="4">
        <v>0</v>
      </c>
      <c r="L222" s="4">
        <v>274.00599999999997</v>
      </c>
      <c r="M222" s="4">
        <v>274.00599999999997</v>
      </c>
      <c r="N222" s="4">
        <v>274.00599999999997</v>
      </c>
      <c r="O222" s="4">
        <v>274.00599999999997</v>
      </c>
      <c r="P222" s="4">
        <v>1185</v>
      </c>
      <c r="Q222" s="3" t="s">
        <v>26</v>
      </c>
      <c r="R222" s="3">
        <v>0</v>
      </c>
      <c r="S222" s="3" t="s">
        <v>192</v>
      </c>
      <c r="T222" s="3" t="s">
        <v>318</v>
      </c>
      <c r="U222" s="3">
        <v>0</v>
      </c>
      <c r="V222" s="3">
        <v>34</v>
      </c>
      <c r="W222" s="3">
        <v>52</v>
      </c>
    </row>
    <row r="223" spans="1:23" ht="11.25" customHeight="1" x14ac:dyDescent="0.25">
      <c r="A223" s="3" t="s">
        <v>28</v>
      </c>
      <c r="B223" s="3" t="s">
        <v>40</v>
      </c>
      <c r="C223" s="3" t="s">
        <v>23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44440</v>
      </c>
      <c r="J223" s="4">
        <v>0</v>
      </c>
      <c r="K223" s="4">
        <v>0</v>
      </c>
      <c r="L223" s="4">
        <v>4.5650000000000004</v>
      </c>
      <c r="M223" s="4">
        <v>4.5650000000000004</v>
      </c>
      <c r="N223" s="4">
        <v>4.5650000000000004</v>
      </c>
      <c r="O223" s="4">
        <v>4.5650000000000004</v>
      </c>
      <c r="P223" s="4">
        <v>10</v>
      </c>
      <c r="Q223" s="3" t="s">
        <v>26</v>
      </c>
      <c r="R223" s="3">
        <v>0</v>
      </c>
      <c r="S223" s="3" t="s">
        <v>192</v>
      </c>
      <c r="T223" s="3" t="s">
        <v>318</v>
      </c>
      <c r="U223" s="3">
        <v>0</v>
      </c>
      <c r="V223" s="3">
        <v>34</v>
      </c>
      <c r="W223" s="3">
        <v>52</v>
      </c>
    </row>
    <row r="224" spans="1:23" ht="11.25" customHeight="1" x14ac:dyDescent="0.25">
      <c r="A224" s="3" t="s">
        <v>21</v>
      </c>
      <c r="B224" s="3" t="s">
        <v>40</v>
      </c>
      <c r="C224" s="3" t="s">
        <v>23</v>
      </c>
      <c r="D224" s="3" t="s">
        <v>41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44470</v>
      </c>
      <c r="J224" s="4">
        <v>0</v>
      </c>
      <c r="K224" s="4">
        <v>0</v>
      </c>
      <c r="L224" s="4">
        <v>232.971</v>
      </c>
      <c r="M224" s="4">
        <v>232.971</v>
      </c>
      <c r="N224" s="4">
        <v>232.971</v>
      </c>
      <c r="O224" s="4">
        <v>232.971</v>
      </c>
      <c r="P224" s="4">
        <v>1183</v>
      </c>
      <c r="Q224" s="3" t="s">
        <v>26</v>
      </c>
      <c r="R224" s="3">
        <v>0</v>
      </c>
      <c r="S224" s="3" t="s">
        <v>193</v>
      </c>
      <c r="T224" s="3" t="s">
        <v>319</v>
      </c>
      <c r="U224" s="3">
        <v>0</v>
      </c>
      <c r="V224" s="3">
        <v>34</v>
      </c>
      <c r="W224" s="3">
        <v>52</v>
      </c>
    </row>
    <row r="225" spans="1:23" ht="11.25" customHeight="1" x14ac:dyDescent="0.25">
      <c r="A225" s="3" t="s">
        <v>28</v>
      </c>
      <c r="B225" s="3" t="s">
        <v>40</v>
      </c>
      <c r="C225" s="3" t="s">
        <v>23</v>
      </c>
      <c r="D225" s="3" t="s">
        <v>41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44470</v>
      </c>
      <c r="J225" s="4">
        <v>0</v>
      </c>
      <c r="K225" s="4">
        <v>0</v>
      </c>
      <c r="L225" s="4">
        <v>6.0389999999999997</v>
      </c>
      <c r="M225" s="4">
        <v>6.0389999999999997</v>
      </c>
      <c r="N225" s="4">
        <v>6.0389999999999997</v>
      </c>
      <c r="O225" s="4">
        <v>6.0389999999999997</v>
      </c>
      <c r="P225" s="4">
        <v>12</v>
      </c>
      <c r="Q225" s="3" t="s">
        <v>26</v>
      </c>
      <c r="R225" s="3">
        <v>0</v>
      </c>
      <c r="S225" s="3" t="s">
        <v>193</v>
      </c>
      <c r="T225" s="3" t="s">
        <v>319</v>
      </c>
      <c r="U225" s="3">
        <v>0</v>
      </c>
      <c r="V225" s="3">
        <v>34</v>
      </c>
      <c r="W225" s="3">
        <v>52</v>
      </c>
    </row>
    <row r="226" spans="1:23" ht="11.25" customHeight="1" x14ac:dyDescent="0.25">
      <c r="A226" s="3" t="s">
        <v>21</v>
      </c>
      <c r="B226" s="3" t="s">
        <v>40</v>
      </c>
      <c r="C226" s="3" t="s">
        <v>23</v>
      </c>
      <c r="D226" s="3" t="s">
        <v>41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44501</v>
      </c>
      <c r="J226" s="4">
        <v>0</v>
      </c>
      <c r="K226" s="4">
        <v>0</v>
      </c>
      <c r="L226" s="4">
        <v>266.19200000000001</v>
      </c>
      <c r="M226" s="4">
        <v>266.19200000000001</v>
      </c>
      <c r="N226" s="4">
        <v>266.19200000000001</v>
      </c>
      <c r="O226" s="4">
        <v>266.19200000000001</v>
      </c>
      <c r="P226" s="4">
        <v>1188</v>
      </c>
      <c r="Q226" s="3" t="s">
        <v>26</v>
      </c>
      <c r="R226" s="3">
        <v>0</v>
      </c>
      <c r="S226" s="3" t="s">
        <v>194</v>
      </c>
      <c r="T226" s="3" t="s">
        <v>320</v>
      </c>
      <c r="U226" s="3">
        <v>0</v>
      </c>
      <c r="V226" s="3">
        <v>34</v>
      </c>
      <c r="W226" s="3">
        <v>52</v>
      </c>
    </row>
    <row r="227" spans="1:23" ht="11.25" customHeight="1" x14ac:dyDescent="0.25">
      <c r="A227" s="3" t="s">
        <v>28</v>
      </c>
      <c r="B227" s="3" t="s">
        <v>40</v>
      </c>
      <c r="C227" s="3" t="s">
        <v>23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44501</v>
      </c>
      <c r="J227" s="4">
        <v>0</v>
      </c>
      <c r="K227" s="4">
        <v>0</v>
      </c>
      <c r="L227" s="4">
        <v>3.8940000000000001</v>
      </c>
      <c r="M227" s="4">
        <v>3.8940000000000001</v>
      </c>
      <c r="N227" s="4">
        <v>3.8940000000000001</v>
      </c>
      <c r="O227" s="4">
        <v>3.8940000000000001</v>
      </c>
      <c r="P227" s="4">
        <v>12</v>
      </c>
      <c r="Q227" s="3" t="s">
        <v>26</v>
      </c>
      <c r="R227" s="3">
        <v>0</v>
      </c>
      <c r="S227" s="3" t="s">
        <v>194</v>
      </c>
      <c r="T227" s="3" t="s">
        <v>320</v>
      </c>
      <c r="U227" s="3">
        <v>0</v>
      </c>
      <c r="V227" s="3">
        <v>34</v>
      </c>
      <c r="W227" s="3">
        <v>52</v>
      </c>
    </row>
    <row r="228" spans="1:23" ht="11.25" customHeight="1" x14ac:dyDescent="0.25">
      <c r="A228" s="3" t="s">
        <v>21</v>
      </c>
      <c r="B228" s="3" t="s">
        <v>40</v>
      </c>
      <c r="C228" s="3" t="s">
        <v>23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44531</v>
      </c>
      <c r="J228" s="4">
        <v>0</v>
      </c>
      <c r="K228" s="4">
        <v>0</v>
      </c>
      <c r="L228" s="4">
        <v>309.351</v>
      </c>
      <c r="M228" s="4">
        <v>309.351</v>
      </c>
      <c r="N228" s="4">
        <v>309.351</v>
      </c>
      <c r="O228" s="4">
        <v>309.351</v>
      </c>
      <c r="P228" s="4">
        <v>1181</v>
      </c>
      <c r="Q228" s="3" t="s">
        <v>26</v>
      </c>
      <c r="R228" s="3">
        <v>0</v>
      </c>
      <c r="S228" s="3" t="s">
        <v>187</v>
      </c>
      <c r="T228" s="3" t="s">
        <v>313</v>
      </c>
      <c r="U228" s="3">
        <v>0</v>
      </c>
      <c r="V228" s="3">
        <v>34</v>
      </c>
      <c r="W228" s="3">
        <v>52</v>
      </c>
    </row>
    <row r="229" spans="1:23" ht="11.25" customHeight="1" x14ac:dyDescent="0.25">
      <c r="A229" s="3" t="s">
        <v>28</v>
      </c>
      <c r="B229" s="3" t="s">
        <v>40</v>
      </c>
      <c r="C229" s="3" t="s">
        <v>23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44531</v>
      </c>
      <c r="J229" s="4">
        <v>0</v>
      </c>
      <c r="K229" s="4">
        <v>0</v>
      </c>
      <c r="L229" s="4">
        <v>2.5529999999999999</v>
      </c>
      <c r="M229" s="4">
        <v>2.5529999999999999</v>
      </c>
      <c r="N229" s="4">
        <v>2.5529999999999999</v>
      </c>
      <c r="O229" s="4">
        <v>2.5529999999999999</v>
      </c>
      <c r="P229" s="4">
        <v>13</v>
      </c>
      <c r="Q229" s="3" t="s">
        <v>26</v>
      </c>
      <c r="R229" s="3">
        <v>0</v>
      </c>
      <c r="S229" s="3" t="s">
        <v>187</v>
      </c>
      <c r="T229" s="3" t="s">
        <v>313</v>
      </c>
      <c r="U229" s="3">
        <v>0</v>
      </c>
      <c r="V229" s="3">
        <v>34</v>
      </c>
      <c r="W229" s="3">
        <v>52</v>
      </c>
    </row>
    <row r="230" spans="1:23" ht="11.25" customHeight="1" x14ac:dyDescent="0.25">
      <c r="A230" s="3" t="s">
        <v>21</v>
      </c>
      <c r="B230" s="3" t="s">
        <v>40</v>
      </c>
      <c r="C230" s="3" t="s">
        <v>23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44562</v>
      </c>
      <c r="J230" s="4">
        <v>0</v>
      </c>
      <c r="K230" s="4">
        <v>0</v>
      </c>
      <c r="L230" s="4">
        <v>338.16500000000002</v>
      </c>
      <c r="M230" s="4">
        <v>338.16500000000002</v>
      </c>
      <c r="N230" s="4">
        <v>338.16500000000002</v>
      </c>
      <c r="O230" s="4">
        <v>338.16500000000002</v>
      </c>
      <c r="P230" s="4">
        <v>1185</v>
      </c>
      <c r="Q230" s="3" t="s">
        <v>26</v>
      </c>
      <c r="R230" s="3">
        <v>0</v>
      </c>
      <c r="S230" s="3" t="s">
        <v>188</v>
      </c>
      <c r="T230" s="3" t="s">
        <v>314</v>
      </c>
      <c r="U230" s="3">
        <v>0</v>
      </c>
      <c r="V230" s="3">
        <v>34</v>
      </c>
      <c r="W230" s="3">
        <v>52</v>
      </c>
    </row>
    <row r="231" spans="1:23" ht="11.25" customHeight="1" x14ac:dyDescent="0.25">
      <c r="A231" s="3" t="s">
        <v>28</v>
      </c>
      <c r="B231" s="3" t="s">
        <v>40</v>
      </c>
      <c r="C231" s="3" t="s">
        <v>23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44562</v>
      </c>
      <c r="J231" s="4">
        <v>0</v>
      </c>
      <c r="K231" s="4">
        <v>0</v>
      </c>
      <c r="L231" s="4">
        <v>1.798</v>
      </c>
      <c r="M231" s="4">
        <v>1.798</v>
      </c>
      <c r="N231" s="4">
        <v>1.798</v>
      </c>
      <c r="O231" s="4">
        <v>1.798</v>
      </c>
      <c r="P231" s="4">
        <v>13</v>
      </c>
      <c r="Q231" s="3" t="s">
        <v>26</v>
      </c>
      <c r="R231" s="3">
        <v>0</v>
      </c>
      <c r="S231" s="3" t="s">
        <v>188</v>
      </c>
      <c r="T231" s="3" t="s">
        <v>314</v>
      </c>
      <c r="U231" s="3">
        <v>0</v>
      </c>
      <c r="V231" s="3">
        <v>34</v>
      </c>
      <c r="W231" s="3">
        <v>52</v>
      </c>
    </row>
    <row r="232" spans="1:23" ht="11.25" customHeight="1" x14ac:dyDescent="0.25">
      <c r="A232" s="3" t="s">
        <v>21</v>
      </c>
      <c r="B232" s="3" t="s">
        <v>40</v>
      </c>
      <c r="C232" s="3" t="s">
        <v>23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44593</v>
      </c>
      <c r="J232" s="4">
        <v>0</v>
      </c>
      <c r="K232" s="4">
        <v>0</v>
      </c>
      <c r="L232" s="4">
        <v>270.61399999999998</v>
      </c>
      <c r="M232" s="4">
        <v>270.61399999999998</v>
      </c>
      <c r="N232" s="4">
        <v>270.61399999999998</v>
      </c>
      <c r="O232" s="4">
        <v>270.61399999999998</v>
      </c>
      <c r="P232" s="4">
        <v>1166</v>
      </c>
      <c r="Q232" s="3" t="s">
        <v>26</v>
      </c>
      <c r="R232" s="3">
        <v>0</v>
      </c>
      <c r="S232" s="3" t="s">
        <v>189</v>
      </c>
      <c r="T232" s="3" t="s">
        <v>315</v>
      </c>
      <c r="U232" s="3">
        <v>0</v>
      </c>
      <c r="V232" s="3">
        <v>34</v>
      </c>
      <c r="W232" s="3">
        <v>52</v>
      </c>
    </row>
    <row r="233" spans="1:23" ht="11.25" customHeight="1" x14ac:dyDescent="0.25">
      <c r="A233" s="3" t="s">
        <v>27</v>
      </c>
      <c r="B233" s="3" t="s">
        <v>40</v>
      </c>
      <c r="C233" s="3" t="s">
        <v>23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44593</v>
      </c>
      <c r="J233" s="4">
        <v>0</v>
      </c>
      <c r="K233" s="4">
        <v>0</v>
      </c>
      <c r="L233" s="4">
        <v>-6.0999999999999999E-2</v>
      </c>
      <c r="M233" s="4">
        <v>-6.0999999999999999E-2</v>
      </c>
      <c r="N233" s="4">
        <v>-6.0999999999999999E-2</v>
      </c>
      <c r="O233" s="4">
        <v>-6.0999999999999999E-2</v>
      </c>
      <c r="P233" s="4">
        <v>0</v>
      </c>
      <c r="Q233" s="3" t="s">
        <v>26</v>
      </c>
      <c r="R233" s="3">
        <v>0</v>
      </c>
      <c r="S233" s="3" t="s">
        <v>189</v>
      </c>
      <c r="T233" s="3" t="s">
        <v>315</v>
      </c>
      <c r="U233" s="3">
        <v>0</v>
      </c>
      <c r="V233" s="3">
        <v>34</v>
      </c>
      <c r="W233" s="3">
        <v>52</v>
      </c>
    </row>
    <row r="234" spans="1:23" ht="11.25" customHeight="1" x14ac:dyDescent="0.25">
      <c r="A234" s="3" t="s">
        <v>28</v>
      </c>
      <c r="B234" s="3" t="s">
        <v>40</v>
      </c>
      <c r="C234" s="3" t="s">
        <v>23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44593</v>
      </c>
      <c r="J234" s="4">
        <v>0</v>
      </c>
      <c r="K234" s="4">
        <v>0</v>
      </c>
      <c r="L234" s="4">
        <v>7.5090000000000003</v>
      </c>
      <c r="M234" s="4">
        <v>7.5090000000000003</v>
      </c>
      <c r="N234" s="4">
        <v>7.5090000000000003</v>
      </c>
      <c r="O234" s="4">
        <v>7.5090000000000003</v>
      </c>
      <c r="P234" s="4">
        <v>16</v>
      </c>
      <c r="Q234" s="3" t="s">
        <v>26</v>
      </c>
      <c r="R234" s="3">
        <v>0</v>
      </c>
      <c r="S234" s="3" t="s">
        <v>189</v>
      </c>
      <c r="T234" s="3" t="s">
        <v>315</v>
      </c>
      <c r="U234" s="3">
        <v>0</v>
      </c>
      <c r="V234" s="3">
        <v>34</v>
      </c>
      <c r="W234" s="3">
        <v>52</v>
      </c>
    </row>
    <row r="235" spans="1:23" ht="11.25" customHeight="1" x14ac:dyDescent="0.25">
      <c r="A235" s="3" t="s">
        <v>21</v>
      </c>
      <c r="B235" s="3" t="s">
        <v>40</v>
      </c>
      <c r="C235" s="3" t="s">
        <v>23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44621</v>
      </c>
      <c r="J235" s="4">
        <v>0</v>
      </c>
      <c r="K235" s="4">
        <v>0</v>
      </c>
      <c r="L235" s="4">
        <v>262.28100000000001</v>
      </c>
      <c r="M235" s="4">
        <v>262.28100000000001</v>
      </c>
      <c r="N235" s="4">
        <v>262.28100000000001</v>
      </c>
      <c r="O235" s="4">
        <v>262.28100000000001</v>
      </c>
      <c r="P235" s="4">
        <v>1156</v>
      </c>
      <c r="Q235" s="3" t="s">
        <v>26</v>
      </c>
      <c r="R235" s="3">
        <v>0</v>
      </c>
      <c r="S235" s="3" t="s">
        <v>190</v>
      </c>
      <c r="T235" s="3" t="s">
        <v>316</v>
      </c>
      <c r="U235" s="3">
        <v>0</v>
      </c>
      <c r="V235" s="3">
        <v>34</v>
      </c>
      <c r="W235" s="3">
        <v>52</v>
      </c>
    </row>
    <row r="236" spans="1:23" ht="11.25" customHeight="1" x14ac:dyDescent="0.25">
      <c r="A236" s="3" t="s">
        <v>28</v>
      </c>
      <c r="B236" s="3" t="s">
        <v>40</v>
      </c>
      <c r="C236" s="3" t="s">
        <v>23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44621</v>
      </c>
      <c r="J236" s="4">
        <v>0</v>
      </c>
      <c r="K236" s="4">
        <v>0</v>
      </c>
      <c r="L236" s="4">
        <v>8.1289999999999996</v>
      </c>
      <c r="M236" s="4">
        <v>8.1289999999999996</v>
      </c>
      <c r="N236" s="4">
        <v>8.1289999999999996</v>
      </c>
      <c r="O236" s="4">
        <v>8.1289999999999996</v>
      </c>
      <c r="P236" s="4">
        <v>20</v>
      </c>
      <c r="Q236" s="3" t="s">
        <v>26</v>
      </c>
      <c r="R236" s="3">
        <v>0</v>
      </c>
      <c r="S236" s="3" t="s">
        <v>190</v>
      </c>
      <c r="T236" s="3" t="s">
        <v>316</v>
      </c>
      <c r="U236" s="3">
        <v>0</v>
      </c>
      <c r="V236" s="3">
        <v>34</v>
      </c>
      <c r="W236" s="3">
        <v>52</v>
      </c>
    </row>
    <row r="237" spans="1:23" ht="11.25" customHeight="1" x14ac:dyDescent="0.25">
      <c r="A237" s="3" t="s">
        <v>21</v>
      </c>
      <c r="B237" s="3" t="s">
        <v>40</v>
      </c>
      <c r="C237" s="3" t="s">
        <v>23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44652</v>
      </c>
      <c r="J237" s="4">
        <v>0</v>
      </c>
      <c r="K237" s="4">
        <v>0</v>
      </c>
      <c r="L237" s="4">
        <v>253.72900000000001</v>
      </c>
      <c r="M237" s="4">
        <v>253.72900000000001</v>
      </c>
      <c r="N237" s="4">
        <v>253.72900000000001</v>
      </c>
      <c r="O237" s="4">
        <v>253.72900000000001</v>
      </c>
      <c r="P237" s="4">
        <v>1150</v>
      </c>
      <c r="Q237" s="3" t="s">
        <v>26</v>
      </c>
      <c r="R237" s="3">
        <v>0</v>
      </c>
      <c r="S237" s="3" t="s">
        <v>191</v>
      </c>
      <c r="T237" s="3" t="s">
        <v>317</v>
      </c>
      <c r="U237" s="3">
        <v>0</v>
      </c>
      <c r="V237" s="3">
        <v>34</v>
      </c>
      <c r="W237" s="3">
        <v>52</v>
      </c>
    </row>
    <row r="238" spans="1:23" ht="11.25" customHeight="1" x14ac:dyDescent="0.25">
      <c r="A238" s="3" t="s">
        <v>28</v>
      </c>
      <c r="B238" s="3" t="s">
        <v>40</v>
      </c>
      <c r="C238" s="3" t="s">
        <v>23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44652</v>
      </c>
      <c r="J238" s="4">
        <v>0</v>
      </c>
      <c r="K238" s="4">
        <v>0</v>
      </c>
      <c r="L238" s="4">
        <v>11.025</v>
      </c>
      <c r="M238" s="4">
        <v>11.025</v>
      </c>
      <c r="N238" s="4">
        <v>11.025</v>
      </c>
      <c r="O238" s="4">
        <v>11.025</v>
      </c>
      <c r="P238" s="4">
        <v>20</v>
      </c>
      <c r="Q238" s="3" t="s">
        <v>26</v>
      </c>
      <c r="R238" s="3">
        <v>0</v>
      </c>
      <c r="S238" s="3" t="s">
        <v>191</v>
      </c>
      <c r="T238" s="3" t="s">
        <v>317</v>
      </c>
      <c r="U238" s="3">
        <v>0</v>
      </c>
      <c r="V238" s="3">
        <v>34</v>
      </c>
      <c r="W238" s="3">
        <v>52</v>
      </c>
    </row>
    <row r="239" spans="1:23" ht="11.25" customHeight="1" x14ac:dyDescent="0.25">
      <c r="A239" s="3" t="s">
        <v>21</v>
      </c>
      <c r="B239" s="3" t="s">
        <v>40</v>
      </c>
      <c r="C239" s="3" t="s">
        <v>23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44682</v>
      </c>
      <c r="J239" s="4">
        <v>0</v>
      </c>
      <c r="K239" s="4">
        <v>0</v>
      </c>
      <c r="L239" s="4">
        <v>227.773</v>
      </c>
      <c r="M239" s="4">
        <v>227.773</v>
      </c>
      <c r="N239" s="4">
        <v>227.773</v>
      </c>
      <c r="O239" s="4">
        <v>227.773</v>
      </c>
      <c r="P239" s="4">
        <v>1141</v>
      </c>
      <c r="Q239" s="3" t="s">
        <v>26</v>
      </c>
      <c r="R239" s="3">
        <v>0</v>
      </c>
      <c r="S239" s="3" t="s">
        <v>195</v>
      </c>
      <c r="T239" s="3" t="s">
        <v>321</v>
      </c>
      <c r="U239" s="3">
        <v>0</v>
      </c>
      <c r="V239" s="3">
        <v>34</v>
      </c>
      <c r="W239" s="3">
        <v>52</v>
      </c>
    </row>
    <row r="240" spans="1:23" ht="11.25" customHeight="1" x14ac:dyDescent="0.25">
      <c r="A240" s="3" t="s">
        <v>27</v>
      </c>
      <c r="B240" s="3" t="s">
        <v>40</v>
      </c>
      <c r="C240" s="3" t="s">
        <v>23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44682</v>
      </c>
      <c r="J240" s="4">
        <v>0</v>
      </c>
      <c r="K240" s="4">
        <v>0</v>
      </c>
      <c r="L240" s="4">
        <v>-2.93</v>
      </c>
      <c r="M240" s="4">
        <v>-2.93</v>
      </c>
      <c r="N240" s="4">
        <v>-2.93</v>
      </c>
      <c r="O240" s="4">
        <v>-2.93</v>
      </c>
      <c r="P240" s="4">
        <v>0</v>
      </c>
      <c r="Q240" s="3" t="s">
        <v>26</v>
      </c>
      <c r="R240" s="3">
        <v>0</v>
      </c>
      <c r="S240" s="3" t="s">
        <v>195</v>
      </c>
      <c r="T240" s="3" t="s">
        <v>321</v>
      </c>
      <c r="U240" s="3">
        <v>0</v>
      </c>
      <c r="V240" s="3">
        <v>34</v>
      </c>
      <c r="W240" s="3">
        <v>52</v>
      </c>
    </row>
    <row r="241" spans="1:23" ht="11.25" customHeight="1" x14ac:dyDescent="0.25">
      <c r="A241" s="3" t="s">
        <v>28</v>
      </c>
      <c r="B241" s="3" t="s">
        <v>40</v>
      </c>
      <c r="C241" s="3" t="s">
        <v>23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44682</v>
      </c>
      <c r="J241" s="4">
        <v>0</v>
      </c>
      <c r="K241" s="4">
        <v>0</v>
      </c>
      <c r="L241" s="4">
        <v>12.616</v>
      </c>
      <c r="M241" s="4">
        <v>12.616</v>
      </c>
      <c r="N241" s="4">
        <v>12.616</v>
      </c>
      <c r="O241" s="4">
        <v>12.616</v>
      </c>
      <c r="P241" s="4">
        <v>20</v>
      </c>
      <c r="Q241" s="3" t="s">
        <v>26</v>
      </c>
      <c r="R241" s="3">
        <v>0</v>
      </c>
      <c r="S241" s="3" t="s">
        <v>195</v>
      </c>
      <c r="T241" s="3" t="s">
        <v>321</v>
      </c>
      <c r="U241" s="3">
        <v>0</v>
      </c>
      <c r="V241" s="3">
        <v>34</v>
      </c>
      <c r="W241" s="3">
        <v>52</v>
      </c>
    </row>
    <row r="242" spans="1:23" ht="11.25" customHeight="1" x14ac:dyDescent="0.25">
      <c r="A242" s="3" t="s">
        <v>21</v>
      </c>
      <c r="B242" s="3" t="s">
        <v>40</v>
      </c>
      <c r="C242" s="3" t="s">
        <v>23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44713</v>
      </c>
      <c r="J242" s="4">
        <v>0</v>
      </c>
      <c r="K242" s="4">
        <v>0</v>
      </c>
      <c r="L242" s="4">
        <v>249.512</v>
      </c>
      <c r="M242" s="4">
        <v>249.512</v>
      </c>
      <c r="N242" s="4">
        <v>249.512</v>
      </c>
      <c r="O242" s="4">
        <v>249.512</v>
      </c>
      <c r="P242" s="4">
        <v>1141</v>
      </c>
      <c r="Q242" s="3" t="s">
        <v>26</v>
      </c>
      <c r="R242" s="3">
        <v>0</v>
      </c>
      <c r="S242" s="3" t="s">
        <v>196</v>
      </c>
      <c r="T242" s="3" t="s">
        <v>322</v>
      </c>
      <c r="U242" s="3">
        <v>0</v>
      </c>
      <c r="V242" s="3">
        <v>34</v>
      </c>
      <c r="W242" s="3">
        <v>52</v>
      </c>
    </row>
    <row r="243" spans="1:23" ht="11.25" customHeight="1" x14ac:dyDescent="0.25">
      <c r="A243" s="3" t="s">
        <v>28</v>
      </c>
      <c r="B243" s="3" t="s">
        <v>40</v>
      </c>
      <c r="C243" s="3" t="s">
        <v>23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44713</v>
      </c>
      <c r="J243" s="4">
        <v>0</v>
      </c>
      <c r="K243" s="4">
        <v>0</v>
      </c>
      <c r="L243" s="4">
        <v>25.966000000000001</v>
      </c>
      <c r="M243" s="4">
        <v>25.966000000000001</v>
      </c>
      <c r="N243" s="4">
        <v>25.966000000000001</v>
      </c>
      <c r="O243" s="4">
        <v>25.966000000000001</v>
      </c>
      <c r="P243" s="4">
        <v>22</v>
      </c>
      <c r="Q243" s="3" t="s">
        <v>26</v>
      </c>
      <c r="R243" s="3">
        <v>0</v>
      </c>
      <c r="S243" s="3" t="s">
        <v>196</v>
      </c>
      <c r="T243" s="3" t="s">
        <v>322</v>
      </c>
      <c r="U243" s="3">
        <v>0</v>
      </c>
      <c r="V243" s="3">
        <v>34</v>
      </c>
      <c r="W243" s="3">
        <v>52</v>
      </c>
    </row>
    <row r="244" spans="1:23" ht="11.25" customHeight="1" x14ac:dyDescent="0.25">
      <c r="A244" s="3" t="s">
        <v>21</v>
      </c>
      <c r="B244" s="3" t="s">
        <v>40</v>
      </c>
      <c r="C244" s="3" t="s">
        <v>23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213.47</v>
      </c>
      <c r="M244" s="4">
        <v>213.47</v>
      </c>
      <c r="N244" s="4">
        <v>213.47</v>
      </c>
      <c r="O244" s="4">
        <v>213.47</v>
      </c>
      <c r="P244" s="4">
        <v>1135</v>
      </c>
      <c r="Q244" s="3" t="s">
        <v>26</v>
      </c>
      <c r="R244" s="3">
        <v>0</v>
      </c>
      <c r="S244" s="3" t="s">
        <v>197</v>
      </c>
      <c r="T244" s="3" t="s">
        <v>323</v>
      </c>
      <c r="U244" s="3">
        <v>0</v>
      </c>
      <c r="V244" s="3">
        <v>34</v>
      </c>
      <c r="W244" s="3">
        <v>52</v>
      </c>
    </row>
    <row r="245" spans="1:23" ht="11.25" customHeight="1" x14ac:dyDescent="0.25">
      <c r="A245" s="3" t="s">
        <v>28</v>
      </c>
      <c r="B245" s="3" t="s">
        <v>40</v>
      </c>
      <c r="C245" s="3" t="s">
        <v>23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44743</v>
      </c>
      <c r="J245" s="4">
        <v>0</v>
      </c>
      <c r="K245" s="4">
        <v>0</v>
      </c>
      <c r="L245" s="4">
        <v>16.984000000000002</v>
      </c>
      <c r="M245" s="4">
        <v>16.984000000000002</v>
      </c>
      <c r="N245" s="4">
        <v>16.984000000000002</v>
      </c>
      <c r="O245" s="4">
        <v>16.984000000000002</v>
      </c>
      <c r="P245" s="4">
        <v>20</v>
      </c>
      <c r="Q245" s="3" t="s">
        <v>26</v>
      </c>
      <c r="R245" s="3">
        <v>0</v>
      </c>
      <c r="S245" s="3" t="s">
        <v>197</v>
      </c>
      <c r="T245" s="3" t="s">
        <v>323</v>
      </c>
      <c r="U245" s="3">
        <v>0</v>
      </c>
      <c r="V245" s="3">
        <v>34</v>
      </c>
      <c r="W245" s="3">
        <v>52</v>
      </c>
    </row>
    <row r="246" spans="1:23" ht="11.25" customHeight="1" x14ac:dyDescent="0.25">
      <c r="A246" s="3" t="s">
        <v>21</v>
      </c>
      <c r="B246" s="3" t="s">
        <v>40</v>
      </c>
      <c r="C246" s="3" t="s">
        <v>23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44774</v>
      </c>
      <c r="J246" s="4">
        <v>0</v>
      </c>
      <c r="K246" s="4">
        <v>0</v>
      </c>
      <c r="L246" s="4">
        <v>236.98099999999999</v>
      </c>
      <c r="M246" s="4">
        <v>236.98099999999999</v>
      </c>
      <c r="N246" s="4">
        <v>236.98099999999999</v>
      </c>
      <c r="O246" s="4">
        <v>236.98099999999999</v>
      </c>
      <c r="P246" s="4">
        <v>1125</v>
      </c>
      <c r="Q246" s="3" t="s">
        <v>26</v>
      </c>
      <c r="R246" s="3">
        <v>0</v>
      </c>
      <c r="S246" s="3" t="s">
        <v>198</v>
      </c>
      <c r="T246" s="3" t="s">
        <v>324</v>
      </c>
      <c r="U246" s="3">
        <v>0</v>
      </c>
      <c r="V246" s="3">
        <v>34</v>
      </c>
      <c r="W246" s="3">
        <v>52</v>
      </c>
    </row>
    <row r="247" spans="1:23" ht="11.25" customHeight="1" x14ac:dyDescent="0.25">
      <c r="A247" s="3" t="s">
        <v>28</v>
      </c>
      <c r="B247" s="3" t="s">
        <v>40</v>
      </c>
      <c r="C247" s="3" t="s">
        <v>23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44774</v>
      </c>
      <c r="J247" s="4">
        <v>0</v>
      </c>
      <c r="K247" s="4">
        <v>0</v>
      </c>
      <c r="L247" s="4">
        <v>15.641999999999999</v>
      </c>
      <c r="M247" s="4">
        <v>15.641999999999999</v>
      </c>
      <c r="N247" s="4">
        <v>15.641999999999999</v>
      </c>
      <c r="O247" s="4">
        <v>15.641999999999999</v>
      </c>
      <c r="P247" s="4">
        <v>21</v>
      </c>
      <c r="Q247" s="3" t="s">
        <v>26</v>
      </c>
      <c r="R247" s="3">
        <v>0</v>
      </c>
      <c r="S247" s="3" t="s">
        <v>198</v>
      </c>
      <c r="T247" s="3" t="s">
        <v>324</v>
      </c>
      <c r="U247" s="3">
        <v>0</v>
      </c>
      <c r="V247" s="3">
        <v>34</v>
      </c>
      <c r="W247" s="3">
        <v>52</v>
      </c>
    </row>
    <row r="248" spans="1:23" ht="11.25" customHeight="1" x14ac:dyDescent="0.25">
      <c r="A248" s="3" t="s">
        <v>21</v>
      </c>
      <c r="B248" s="3" t="s">
        <v>33</v>
      </c>
      <c r="C248" s="3" t="s">
        <v>23</v>
      </c>
      <c r="D248" s="3" t="s">
        <v>39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44440</v>
      </c>
      <c r="J248" s="4">
        <v>0</v>
      </c>
      <c r="K248" s="4">
        <v>0</v>
      </c>
      <c r="L248" s="4">
        <v>218.88900000000001</v>
      </c>
      <c r="M248" s="4">
        <v>218.88900000000001</v>
      </c>
      <c r="N248" s="4">
        <v>218.88900000000001</v>
      </c>
      <c r="O248" s="4">
        <v>218.88900000000001</v>
      </c>
      <c r="P248" s="4">
        <v>519</v>
      </c>
      <c r="Q248" s="3" t="s">
        <v>26</v>
      </c>
      <c r="R248" s="3">
        <v>0</v>
      </c>
      <c r="S248" s="3" t="s">
        <v>199</v>
      </c>
      <c r="T248" s="3" t="s">
        <v>325</v>
      </c>
      <c r="U248" s="3">
        <v>0</v>
      </c>
      <c r="V248" s="3">
        <v>50</v>
      </c>
      <c r="W248" s="3">
        <v>83</v>
      </c>
    </row>
    <row r="249" spans="1:23" ht="11.25" customHeight="1" x14ac:dyDescent="0.25">
      <c r="A249" s="3" t="s">
        <v>28</v>
      </c>
      <c r="B249" s="3" t="s">
        <v>33</v>
      </c>
      <c r="C249" s="3" t="s">
        <v>23</v>
      </c>
      <c r="D249" s="3" t="s">
        <v>39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44440</v>
      </c>
      <c r="J249" s="4">
        <v>0</v>
      </c>
      <c r="K249" s="4">
        <v>0</v>
      </c>
      <c r="L249" s="4">
        <v>9.6929999999999996</v>
      </c>
      <c r="M249" s="4">
        <v>9.6929999999999996</v>
      </c>
      <c r="N249" s="4">
        <v>9.6929999999999996</v>
      </c>
      <c r="O249" s="4">
        <v>9.6929999999999996</v>
      </c>
      <c r="P249" s="4">
        <v>33</v>
      </c>
      <c r="Q249" s="3" t="s">
        <v>26</v>
      </c>
      <c r="R249" s="3">
        <v>0</v>
      </c>
      <c r="S249" s="3" t="s">
        <v>199</v>
      </c>
      <c r="T249" s="3" t="s">
        <v>325</v>
      </c>
      <c r="U249" s="3">
        <v>0</v>
      </c>
      <c r="V249" s="3">
        <v>50</v>
      </c>
      <c r="W249" s="3">
        <v>83</v>
      </c>
    </row>
    <row r="250" spans="1:23" ht="11.25" customHeight="1" x14ac:dyDescent="0.25">
      <c r="A250" s="3" t="s">
        <v>21</v>
      </c>
      <c r="B250" s="3" t="s">
        <v>33</v>
      </c>
      <c r="C250" s="3" t="s">
        <v>23</v>
      </c>
      <c r="D250" s="3" t="s">
        <v>39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44470</v>
      </c>
      <c r="J250" s="4">
        <v>0</v>
      </c>
      <c r="K250" s="4">
        <v>0</v>
      </c>
      <c r="L250" s="4">
        <v>191.14500000000001</v>
      </c>
      <c r="M250" s="4">
        <v>191.14500000000001</v>
      </c>
      <c r="N250" s="4">
        <v>191.14500000000001</v>
      </c>
      <c r="O250" s="4">
        <v>191.14500000000001</v>
      </c>
      <c r="P250" s="4">
        <v>518</v>
      </c>
      <c r="Q250" s="3" t="s">
        <v>26</v>
      </c>
      <c r="R250" s="3">
        <v>0</v>
      </c>
      <c r="S250" s="3" t="s">
        <v>200</v>
      </c>
      <c r="T250" s="3" t="s">
        <v>326</v>
      </c>
      <c r="U250" s="3">
        <v>0</v>
      </c>
      <c r="V250" s="3">
        <v>50</v>
      </c>
      <c r="W250" s="3">
        <v>83</v>
      </c>
    </row>
    <row r="251" spans="1:23" ht="11.25" customHeight="1" x14ac:dyDescent="0.25">
      <c r="A251" s="3" t="s">
        <v>27</v>
      </c>
      <c r="B251" s="3" t="s">
        <v>33</v>
      </c>
      <c r="C251" s="3" t="s">
        <v>23</v>
      </c>
      <c r="D251" s="3" t="s">
        <v>39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44470</v>
      </c>
      <c r="J251" s="4">
        <v>0</v>
      </c>
      <c r="K251" s="4">
        <v>0</v>
      </c>
      <c r="L251" s="4">
        <v>-0.02</v>
      </c>
      <c r="M251" s="4">
        <v>-0.02</v>
      </c>
      <c r="N251" s="4">
        <v>-0.02</v>
      </c>
      <c r="O251" s="4">
        <v>-0.02</v>
      </c>
      <c r="P251" s="4">
        <v>0</v>
      </c>
      <c r="Q251" s="3" t="s">
        <v>26</v>
      </c>
      <c r="R251" s="3">
        <v>0</v>
      </c>
      <c r="S251" s="3" t="s">
        <v>200</v>
      </c>
      <c r="T251" s="3" t="s">
        <v>326</v>
      </c>
      <c r="U251" s="3">
        <v>0</v>
      </c>
      <c r="V251" s="3">
        <v>50</v>
      </c>
      <c r="W251" s="3">
        <v>83</v>
      </c>
    </row>
    <row r="252" spans="1:23" ht="11.25" customHeight="1" x14ac:dyDescent="0.25">
      <c r="A252" s="3" t="s">
        <v>28</v>
      </c>
      <c r="B252" s="3" t="s">
        <v>33</v>
      </c>
      <c r="C252" s="3" t="s">
        <v>23</v>
      </c>
      <c r="D252" s="3" t="s">
        <v>39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44470</v>
      </c>
      <c r="J252" s="4">
        <v>0</v>
      </c>
      <c r="K252" s="4">
        <v>0</v>
      </c>
      <c r="L252" s="4">
        <v>10.465</v>
      </c>
      <c r="M252" s="4">
        <v>10.465</v>
      </c>
      <c r="N252" s="4">
        <v>10.465</v>
      </c>
      <c r="O252" s="4">
        <v>10.465</v>
      </c>
      <c r="P252" s="4">
        <v>36</v>
      </c>
      <c r="Q252" s="3" t="s">
        <v>26</v>
      </c>
      <c r="R252" s="3">
        <v>0</v>
      </c>
      <c r="S252" s="3" t="s">
        <v>200</v>
      </c>
      <c r="T252" s="3" t="s">
        <v>326</v>
      </c>
      <c r="U252" s="3">
        <v>0</v>
      </c>
      <c r="V252" s="3">
        <v>50</v>
      </c>
      <c r="W252" s="3">
        <v>83</v>
      </c>
    </row>
    <row r="253" spans="1:23" ht="11.25" customHeight="1" x14ac:dyDescent="0.25">
      <c r="A253" s="3" t="s">
        <v>21</v>
      </c>
      <c r="B253" s="3" t="s">
        <v>33</v>
      </c>
      <c r="C253" s="3" t="s">
        <v>23</v>
      </c>
      <c r="D253" s="3" t="s">
        <v>39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44501</v>
      </c>
      <c r="J253" s="4">
        <v>0</v>
      </c>
      <c r="K253" s="4">
        <v>0</v>
      </c>
      <c r="L253" s="4">
        <v>231.369</v>
      </c>
      <c r="M253" s="4">
        <v>231.369</v>
      </c>
      <c r="N253" s="4">
        <v>231.369</v>
      </c>
      <c r="O253" s="4">
        <v>231.369</v>
      </c>
      <c r="P253" s="4">
        <v>522</v>
      </c>
      <c r="Q253" s="3" t="s">
        <v>26</v>
      </c>
      <c r="R253" s="3">
        <v>0</v>
      </c>
      <c r="S253" s="3" t="s">
        <v>201</v>
      </c>
      <c r="T253" s="3" t="s">
        <v>327</v>
      </c>
      <c r="U253" s="3">
        <v>0</v>
      </c>
      <c r="V253" s="3">
        <v>50</v>
      </c>
      <c r="W253" s="3">
        <v>83</v>
      </c>
    </row>
    <row r="254" spans="1:23" ht="11.25" customHeight="1" x14ac:dyDescent="0.25">
      <c r="A254" s="3" t="s">
        <v>28</v>
      </c>
      <c r="B254" s="3" t="s">
        <v>33</v>
      </c>
      <c r="C254" s="3" t="s">
        <v>23</v>
      </c>
      <c r="D254" s="3" t="s">
        <v>39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44501</v>
      </c>
      <c r="J254" s="4">
        <v>0</v>
      </c>
      <c r="K254" s="4">
        <v>0</v>
      </c>
      <c r="L254" s="4">
        <v>8.2639999999999993</v>
      </c>
      <c r="M254" s="4">
        <v>8.2639999999999993</v>
      </c>
      <c r="N254" s="4">
        <v>8.2639999999999993</v>
      </c>
      <c r="O254" s="4">
        <v>8.2639999999999993</v>
      </c>
      <c r="P254" s="4">
        <v>37</v>
      </c>
      <c r="Q254" s="3" t="s">
        <v>26</v>
      </c>
      <c r="R254" s="3">
        <v>0</v>
      </c>
      <c r="S254" s="3" t="s">
        <v>201</v>
      </c>
      <c r="T254" s="3" t="s">
        <v>327</v>
      </c>
      <c r="U254" s="3">
        <v>0</v>
      </c>
      <c r="V254" s="3">
        <v>50</v>
      </c>
      <c r="W254" s="3">
        <v>83</v>
      </c>
    </row>
    <row r="255" spans="1:23" ht="11.25" customHeight="1" x14ac:dyDescent="0.25">
      <c r="A255" s="3" t="s">
        <v>21</v>
      </c>
      <c r="B255" s="3" t="s">
        <v>33</v>
      </c>
      <c r="C255" s="3" t="s">
        <v>23</v>
      </c>
      <c r="D255" s="3" t="s">
        <v>39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44531</v>
      </c>
      <c r="J255" s="4">
        <v>0</v>
      </c>
      <c r="K255" s="4">
        <v>0</v>
      </c>
      <c r="L255" s="4">
        <v>290.31</v>
      </c>
      <c r="M255" s="4">
        <v>290.31</v>
      </c>
      <c r="N255" s="4">
        <v>290.31</v>
      </c>
      <c r="O255" s="4">
        <v>290.31</v>
      </c>
      <c r="P255" s="4">
        <v>524</v>
      </c>
      <c r="Q255" s="3" t="s">
        <v>26</v>
      </c>
      <c r="R255" s="3">
        <v>0</v>
      </c>
      <c r="S255" s="3" t="s">
        <v>202</v>
      </c>
      <c r="T255" s="3" t="s">
        <v>328</v>
      </c>
      <c r="U255" s="3">
        <v>0</v>
      </c>
      <c r="V255" s="3">
        <v>50</v>
      </c>
      <c r="W255" s="3">
        <v>83</v>
      </c>
    </row>
    <row r="256" spans="1:23" ht="11.25" customHeight="1" x14ac:dyDescent="0.25">
      <c r="A256" s="3" t="s">
        <v>28</v>
      </c>
      <c r="B256" s="3" t="s">
        <v>33</v>
      </c>
      <c r="C256" s="3" t="s">
        <v>23</v>
      </c>
      <c r="D256" s="3" t="s">
        <v>39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44531</v>
      </c>
      <c r="J256" s="4">
        <v>0</v>
      </c>
      <c r="K256" s="4">
        <v>0</v>
      </c>
      <c r="L256" s="4">
        <v>9.4090000000000007</v>
      </c>
      <c r="M256" s="4">
        <v>9.4090000000000007</v>
      </c>
      <c r="N256" s="4">
        <v>9.4090000000000007</v>
      </c>
      <c r="O256" s="4">
        <v>9.4090000000000007</v>
      </c>
      <c r="P256" s="4">
        <v>39</v>
      </c>
      <c r="Q256" s="3" t="s">
        <v>26</v>
      </c>
      <c r="R256" s="3">
        <v>0</v>
      </c>
      <c r="S256" s="3" t="s">
        <v>202</v>
      </c>
      <c r="T256" s="3" t="s">
        <v>328</v>
      </c>
      <c r="U256" s="3">
        <v>0</v>
      </c>
      <c r="V256" s="3">
        <v>50</v>
      </c>
      <c r="W256" s="3">
        <v>83</v>
      </c>
    </row>
    <row r="257" spans="1:23" ht="11.25" customHeight="1" x14ac:dyDescent="0.25">
      <c r="A257" s="3" t="s">
        <v>21</v>
      </c>
      <c r="B257" s="3" t="s">
        <v>33</v>
      </c>
      <c r="C257" s="3" t="s">
        <v>23</v>
      </c>
      <c r="D257" s="3" t="s">
        <v>39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44562</v>
      </c>
      <c r="J257" s="4">
        <v>0</v>
      </c>
      <c r="K257" s="4">
        <v>0</v>
      </c>
      <c r="L257" s="4">
        <v>294.79700000000003</v>
      </c>
      <c r="M257" s="4">
        <v>294.79700000000003</v>
      </c>
      <c r="N257" s="4">
        <v>294.79700000000003</v>
      </c>
      <c r="O257" s="4">
        <v>294.79700000000003</v>
      </c>
      <c r="P257" s="4">
        <v>519</v>
      </c>
      <c r="Q257" s="3" t="s">
        <v>26</v>
      </c>
      <c r="R257" s="3">
        <v>0</v>
      </c>
      <c r="S257" s="3" t="s">
        <v>203</v>
      </c>
      <c r="T257" s="3" t="s">
        <v>329</v>
      </c>
      <c r="U257" s="3">
        <v>0</v>
      </c>
      <c r="V257" s="3">
        <v>50</v>
      </c>
      <c r="W257" s="3">
        <v>83</v>
      </c>
    </row>
    <row r="258" spans="1:23" ht="11.25" customHeight="1" x14ac:dyDescent="0.25">
      <c r="A258" s="3" t="s">
        <v>28</v>
      </c>
      <c r="B258" s="3" t="s">
        <v>33</v>
      </c>
      <c r="C258" s="3" t="s">
        <v>23</v>
      </c>
      <c r="D258" s="3" t="s">
        <v>39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44562</v>
      </c>
      <c r="J258" s="4">
        <v>0</v>
      </c>
      <c r="K258" s="4">
        <v>0</v>
      </c>
      <c r="L258" s="4">
        <v>8.2870000000000008</v>
      </c>
      <c r="M258" s="4">
        <v>8.2870000000000008</v>
      </c>
      <c r="N258" s="4">
        <v>8.2870000000000008</v>
      </c>
      <c r="O258" s="4">
        <v>8.2870000000000008</v>
      </c>
      <c r="P258" s="4">
        <v>40</v>
      </c>
      <c r="Q258" s="3" t="s">
        <v>26</v>
      </c>
      <c r="R258" s="3">
        <v>0</v>
      </c>
      <c r="S258" s="3" t="s">
        <v>203</v>
      </c>
      <c r="T258" s="3" t="s">
        <v>329</v>
      </c>
      <c r="U258" s="3">
        <v>0</v>
      </c>
      <c r="V258" s="3">
        <v>50</v>
      </c>
      <c r="W258" s="3">
        <v>83</v>
      </c>
    </row>
    <row r="259" spans="1:23" ht="11.25" customHeight="1" x14ac:dyDescent="0.25">
      <c r="A259" s="3" t="s">
        <v>21</v>
      </c>
      <c r="B259" s="3" t="s">
        <v>33</v>
      </c>
      <c r="C259" s="3" t="s">
        <v>23</v>
      </c>
      <c r="D259" s="3" t="s">
        <v>39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44593</v>
      </c>
      <c r="J259" s="4">
        <v>0</v>
      </c>
      <c r="K259" s="4">
        <v>0</v>
      </c>
      <c r="L259" s="4">
        <v>271.11700000000002</v>
      </c>
      <c r="M259" s="4">
        <v>271.11700000000002</v>
      </c>
      <c r="N259" s="4">
        <v>271.11700000000002</v>
      </c>
      <c r="O259" s="4">
        <v>271.11700000000002</v>
      </c>
      <c r="P259" s="4">
        <v>523</v>
      </c>
      <c r="Q259" s="3" t="s">
        <v>26</v>
      </c>
      <c r="R259" s="3">
        <v>0</v>
      </c>
      <c r="S259" s="3" t="s">
        <v>204</v>
      </c>
      <c r="T259" s="3" t="s">
        <v>330</v>
      </c>
      <c r="U259" s="3">
        <v>0</v>
      </c>
      <c r="V259" s="3">
        <v>50</v>
      </c>
      <c r="W259" s="3">
        <v>83</v>
      </c>
    </row>
    <row r="260" spans="1:23" ht="11.25" customHeight="1" x14ac:dyDescent="0.25">
      <c r="A260" s="3" t="s">
        <v>28</v>
      </c>
      <c r="B260" s="3" t="s">
        <v>33</v>
      </c>
      <c r="C260" s="3" t="s">
        <v>23</v>
      </c>
      <c r="D260" s="3" t="s">
        <v>39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44593</v>
      </c>
      <c r="J260" s="4">
        <v>0</v>
      </c>
      <c r="K260" s="4">
        <v>0</v>
      </c>
      <c r="L260" s="4">
        <v>9.3249999999999993</v>
      </c>
      <c r="M260" s="4">
        <v>9.3249999999999993</v>
      </c>
      <c r="N260" s="4">
        <v>9.3249999999999993</v>
      </c>
      <c r="O260" s="4">
        <v>9.3249999999999993</v>
      </c>
      <c r="P260" s="4">
        <v>39</v>
      </c>
      <c r="Q260" s="3" t="s">
        <v>26</v>
      </c>
      <c r="R260" s="3">
        <v>0</v>
      </c>
      <c r="S260" s="3" t="s">
        <v>204</v>
      </c>
      <c r="T260" s="3" t="s">
        <v>330</v>
      </c>
      <c r="U260" s="3">
        <v>0</v>
      </c>
      <c r="V260" s="3">
        <v>50</v>
      </c>
      <c r="W260" s="3">
        <v>83</v>
      </c>
    </row>
    <row r="261" spans="1:23" ht="11.25" customHeight="1" x14ac:dyDescent="0.25">
      <c r="A261" s="3" t="s">
        <v>21</v>
      </c>
      <c r="B261" s="3" t="s">
        <v>33</v>
      </c>
      <c r="C261" s="3" t="s">
        <v>23</v>
      </c>
      <c r="D261" s="3" t="s">
        <v>39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44621</v>
      </c>
      <c r="J261" s="4">
        <v>0</v>
      </c>
      <c r="K261" s="4">
        <v>0</v>
      </c>
      <c r="L261" s="4">
        <v>270.36900000000003</v>
      </c>
      <c r="M261" s="4">
        <v>270.36900000000003</v>
      </c>
      <c r="N261" s="4">
        <v>270.36900000000003</v>
      </c>
      <c r="O261" s="4">
        <v>270.36900000000003</v>
      </c>
      <c r="P261" s="4">
        <v>528</v>
      </c>
      <c r="Q261" s="3" t="s">
        <v>26</v>
      </c>
      <c r="R261" s="3">
        <v>0</v>
      </c>
      <c r="S261" s="3" t="s">
        <v>205</v>
      </c>
      <c r="T261" s="3" t="s">
        <v>331</v>
      </c>
      <c r="U261" s="3">
        <v>0</v>
      </c>
      <c r="V261" s="3">
        <v>50</v>
      </c>
      <c r="W261" s="3">
        <v>83</v>
      </c>
    </row>
    <row r="262" spans="1:23" ht="11.25" customHeight="1" x14ac:dyDescent="0.25">
      <c r="A262" s="3" t="s">
        <v>28</v>
      </c>
      <c r="B262" s="3" t="s">
        <v>33</v>
      </c>
      <c r="C262" s="3" t="s">
        <v>23</v>
      </c>
      <c r="D262" s="3" t="s">
        <v>39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44621</v>
      </c>
      <c r="J262" s="4">
        <v>0</v>
      </c>
      <c r="K262" s="4">
        <v>0</v>
      </c>
      <c r="L262" s="4">
        <v>13.425000000000001</v>
      </c>
      <c r="M262" s="4">
        <v>13.425000000000001</v>
      </c>
      <c r="N262" s="4">
        <v>13.425000000000001</v>
      </c>
      <c r="O262" s="4">
        <v>13.425000000000001</v>
      </c>
      <c r="P262" s="4">
        <v>39</v>
      </c>
      <c r="Q262" s="3" t="s">
        <v>26</v>
      </c>
      <c r="R262" s="3">
        <v>0</v>
      </c>
      <c r="S262" s="3" t="s">
        <v>205</v>
      </c>
      <c r="T262" s="3" t="s">
        <v>331</v>
      </c>
      <c r="U262" s="3">
        <v>0</v>
      </c>
      <c r="V262" s="3">
        <v>50</v>
      </c>
      <c r="W262" s="3">
        <v>83</v>
      </c>
    </row>
    <row r="263" spans="1:23" ht="11.25" customHeight="1" x14ac:dyDescent="0.25">
      <c r="A263" s="3" t="s">
        <v>21</v>
      </c>
      <c r="B263" s="3" t="s">
        <v>33</v>
      </c>
      <c r="C263" s="3" t="s">
        <v>23</v>
      </c>
      <c r="D263" s="3" t="s">
        <v>39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44652</v>
      </c>
      <c r="J263" s="4">
        <v>0</v>
      </c>
      <c r="K263" s="4">
        <v>0</v>
      </c>
      <c r="L263" s="4">
        <v>243.37</v>
      </c>
      <c r="M263" s="4">
        <v>243.37</v>
      </c>
      <c r="N263" s="4">
        <v>243.37</v>
      </c>
      <c r="O263" s="4">
        <v>243.37</v>
      </c>
      <c r="P263" s="4">
        <v>529</v>
      </c>
      <c r="Q263" s="3" t="s">
        <v>26</v>
      </c>
      <c r="R263" s="3">
        <v>0</v>
      </c>
      <c r="S263" s="3" t="s">
        <v>206</v>
      </c>
      <c r="T263" s="3" t="s">
        <v>332</v>
      </c>
      <c r="U263" s="3">
        <v>0</v>
      </c>
      <c r="V263" s="3">
        <v>50</v>
      </c>
      <c r="W263" s="3">
        <v>83</v>
      </c>
    </row>
    <row r="264" spans="1:23" ht="11.25" customHeight="1" x14ac:dyDescent="0.25">
      <c r="A264" s="3" t="s">
        <v>28</v>
      </c>
      <c r="B264" s="3" t="s">
        <v>33</v>
      </c>
      <c r="C264" s="3" t="s">
        <v>23</v>
      </c>
      <c r="D264" s="3" t="s">
        <v>39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44652</v>
      </c>
      <c r="J264" s="4">
        <v>0</v>
      </c>
      <c r="K264" s="4">
        <v>0</v>
      </c>
      <c r="L264" s="4">
        <v>8.1370000000000005</v>
      </c>
      <c r="M264" s="4">
        <v>8.1370000000000005</v>
      </c>
      <c r="N264" s="4">
        <v>8.1370000000000005</v>
      </c>
      <c r="O264" s="4">
        <v>8.1370000000000005</v>
      </c>
      <c r="P264" s="4">
        <v>38</v>
      </c>
      <c r="Q264" s="3" t="s">
        <v>26</v>
      </c>
      <c r="R264" s="3">
        <v>0</v>
      </c>
      <c r="S264" s="3" t="s">
        <v>206</v>
      </c>
      <c r="T264" s="3" t="s">
        <v>332</v>
      </c>
      <c r="U264" s="3">
        <v>0</v>
      </c>
      <c r="V264" s="3">
        <v>50</v>
      </c>
      <c r="W264" s="3">
        <v>83</v>
      </c>
    </row>
    <row r="265" spans="1:23" ht="11.25" customHeight="1" x14ac:dyDescent="0.25">
      <c r="A265" s="3" t="s">
        <v>21</v>
      </c>
      <c r="B265" s="3" t="s">
        <v>33</v>
      </c>
      <c r="C265" s="3" t="s">
        <v>23</v>
      </c>
      <c r="D265" s="3" t="s">
        <v>39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44682</v>
      </c>
      <c r="J265" s="4">
        <v>0</v>
      </c>
      <c r="K265" s="4">
        <v>0</v>
      </c>
      <c r="L265" s="4">
        <v>222.07400000000001</v>
      </c>
      <c r="M265" s="4">
        <v>222.07400000000001</v>
      </c>
      <c r="N265" s="4">
        <v>222.07400000000001</v>
      </c>
      <c r="O265" s="4">
        <v>222.07400000000001</v>
      </c>
      <c r="P265" s="4">
        <v>530</v>
      </c>
      <c r="Q265" s="3" t="s">
        <v>26</v>
      </c>
      <c r="R265" s="3">
        <v>0</v>
      </c>
      <c r="S265" s="3" t="s">
        <v>207</v>
      </c>
      <c r="T265" s="3" t="s">
        <v>333</v>
      </c>
      <c r="U265" s="3">
        <v>0</v>
      </c>
      <c r="V265" s="3">
        <v>50</v>
      </c>
      <c r="W265" s="3">
        <v>83</v>
      </c>
    </row>
    <row r="266" spans="1:23" ht="11.25" customHeight="1" x14ac:dyDescent="0.25">
      <c r="A266" s="3" t="s">
        <v>28</v>
      </c>
      <c r="B266" s="3" t="s">
        <v>33</v>
      </c>
      <c r="C266" s="3" t="s">
        <v>23</v>
      </c>
      <c r="D266" s="3" t="s">
        <v>39</v>
      </c>
      <c r="E266" s="3" t="s">
        <v>25</v>
      </c>
      <c r="F266" s="3" t="s">
        <v>25</v>
      </c>
      <c r="G266" s="3" t="s">
        <v>25</v>
      </c>
      <c r="H266" s="3" t="s">
        <v>25</v>
      </c>
      <c r="I266" s="6">
        <v>44682</v>
      </c>
      <c r="J266" s="4">
        <v>0</v>
      </c>
      <c r="K266" s="4">
        <v>0</v>
      </c>
      <c r="L266" s="4">
        <v>10.545999999999999</v>
      </c>
      <c r="M266" s="4">
        <v>10.545999999999999</v>
      </c>
      <c r="N266" s="4">
        <v>10.545999999999999</v>
      </c>
      <c r="O266" s="4">
        <v>10.545999999999999</v>
      </c>
      <c r="P266" s="4">
        <v>39</v>
      </c>
      <c r="Q266" s="3" t="s">
        <v>26</v>
      </c>
      <c r="R266" s="3">
        <v>0</v>
      </c>
      <c r="S266" s="3" t="s">
        <v>207</v>
      </c>
      <c r="T266" s="3" t="s">
        <v>333</v>
      </c>
      <c r="U266" s="3">
        <v>0</v>
      </c>
      <c r="V266" s="3">
        <v>50</v>
      </c>
      <c r="W266" s="3">
        <v>83</v>
      </c>
    </row>
    <row r="267" spans="1:23" ht="11.25" customHeight="1" x14ac:dyDescent="0.25">
      <c r="A267" s="3" t="s">
        <v>21</v>
      </c>
      <c r="B267" s="3" t="s">
        <v>33</v>
      </c>
      <c r="C267" s="3" t="s">
        <v>23</v>
      </c>
      <c r="D267" s="3" t="s">
        <v>39</v>
      </c>
      <c r="E267" s="3" t="s">
        <v>25</v>
      </c>
      <c r="F267" s="3" t="s">
        <v>25</v>
      </c>
      <c r="G267" s="3" t="s">
        <v>25</v>
      </c>
      <c r="H267" s="3" t="s">
        <v>25</v>
      </c>
      <c r="I267" s="6">
        <v>44713</v>
      </c>
      <c r="J267" s="4">
        <v>0</v>
      </c>
      <c r="K267" s="4">
        <v>0</v>
      </c>
      <c r="L267" s="4">
        <v>217.953</v>
      </c>
      <c r="M267" s="4">
        <v>217.953</v>
      </c>
      <c r="N267" s="4">
        <v>217.953</v>
      </c>
      <c r="O267" s="4">
        <v>217.953</v>
      </c>
      <c r="P267" s="4">
        <v>532</v>
      </c>
      <c r="Q267" s="3" t="s">
        <v>26</v>
      </c>
      <c r="R267" s="3">
        <v>0</v>
      </c>
      <c r="S267" s="3" t="s">
        <v>208</v>
      </c>
      <c r="T267" s="3" t="s">
        <v>334</v>
      </c>
      <c r="U267" s="3">
        <v>0</v>
      </c>
      <c r="V267" s="3">
        <v>50</v>
      </c>
      <c r="W267" s="3">
        <v>83</v>
      </c>
    </row>
    <row r="268" spans="1:23" ht="11.25" customHeight="1" x14ac:dyDescent="0.25">
      <c r="A268" s="3" t="s">
        <v>28</v>
      </c>
      <c r="B268" s="3" t="s">
        <v>33</v>
      </c>
      <c r="C268" s="3" t="s">
        <v>23</v>
      </c>
      <c r="D268" s="3" t="s">
        <v>39</v>
      </c>
      <c r="E268" s="3" t="s">
        <v>25</v>
      </c>
      <c r="F268" s="3" t="s">
        <v>25</v>
      </c>
      <c r="G268" s="3" t="s">
        <v>25</v>
      </c>
      <c r="H268" s="3" t="s">
        <v>25</v>
      </c>
      <c r="I268" s="6">
        <v>44713</v>
      </c>
      <c r="J268" s="4">
        <v>0</v>
      </c>
      <c r="K268" s="4">
        <v>0</v>
      </c>
      <c r="L268" s="4">
        <v>16.420000000000002</v>
      </c>
      <c r="M268" s="4">
        <v>16.420000000000002</v>
      </c>
      <c r="N268" s="4">
        <v>16.420000000000002</v>
      </c>
      <c r="O268" s="4">
        <v>16.420000000000002</v>
      </c>
      <c r="P268" s="4">
        <v>42</v>
      </c>
      <c r="Q268" s="3" t="s">
        <v>26</v>
      </c>
      <c r="R268" s="3">
        <v>0</v>
      </c>
      <c r="S268" s="3" t="s">
        <v>208</v>
      </c>
      <c r="T268" s="3" t="s">
        <v>334</v>
      </c>
      <c r="U268" s="3">
        <v>0</v>
      </c>
      <c r="V268" s="3">
        <v>50</v>
      </c>
      <c r="W268" s="3">
        <v>83</v>
      </c>
    </row>
    <row r="269" spans="1:23" ht="11.25" customHeight="1" x14ac:dyDescent="0.25">
      <c r="A269" s="3" t="s">
        <v>21</v>
      </c>
      <c r="B269" s="3" t="s">
        <v>33</v>
      </c>
      <c r="C269" s="3" t="s">
        <v>23</v>
      </c>
      <c r="D269" s="3" t="s">
        <v>39</v>
      </c>
      <c r="E269" s="3" t="s">
        <v>25</v>
      </c>
      <c r="F269" s="3" t="s">
        <v>25</v>
      </c>
      <c r="G269" s="3" t="s">
        <v>25</v>
      </c>
      <c r="H269" s="3" t="s">
        <v>25</v>
      </c>
      <c r="I269" s="6">
        <v>44743</v>
      </c>
      <c r="J269" s="4">
        <v>0</v>
      </c>
      <c r="K269" s="4">
        <v>0</v>
      </c>
      <c r="L269" s="4">
        <v>209.321</v>
      </c>
      <c r="M269" s="4">
        <v>209.321</v>
      </c>
      <c r="N269" s="4">
        <v>209.321</v>
      </c>
      <c r="O269" s="4">
        <v>209.321</v>
      </c>
      <c r="P269" s="4">
        <v>540</v>
      </c>
      <c r="Q269" s="3" t="s">
        <v>26</v>
      </c>
      <c r="R269" s="3">
        <v>0</v>
      </c>
      <c r="S269" s="3" t="s">
        <v>209</v>
      </c>
      <c r="T269" s="3" t="s">
        <v>335</v>
      </c>
      <c r="U269" s="3">
        <v>0</v>
      </c>
      <c r="V269" s="3">
        <v>50</v>
      </c>
      <c r="W269" s="3">
        <v>83</v>
      </c>
    </row>
    <row r="270" spans="1:23" ht="11.25" customHeight="1" x14ac:dyDescent="0.25">
      <c r="A270" s="3" t="s">
        <v>28</v>
      </c>
      <c r="B270" s="3" t="s">
        <v>33</v>
      </c>
      <c r="C270" s="3" t="s">
        <v>23</v>
      </c>
      <c r="D270" s="3" t="s">
        <v>39</v>
      </c>
      <c r="E270" s="3" t="s">
        <v>25</v>
      </c>
      <c r="F270" s="3" t="s">
        <v>25</v>
      </c>
      <c r="G270" s="3" t="s">
        <v>25</v>
      </c>
      <c r="H270" s="3" t="s">
        <v>25</v>
      </c>
      <c r="I270" s="6">
        <v>44743</v>
      </c>
      <c r="J270" s="4">
        <v>0</v>
      </c>
      <c r="K270" s="4">
        <v>0</v>
      </c>
      <c r="L270" s="4">
        <v>12.760999999999999</v>
      </c>
      <c r="M270" s="4">
        <v>12.760999999999999</v>
      </c>
      <c r="N270" s="4">
        <v>12.760999999999999</v>
      </c>
      <c r="O270" s="4">
        <v>12.760999999999999</v>
      </c>
      <c r="P270" s="4">
        <v>37</v>
      </c>
      <c r="Q270" s="3" t="s">
        <v>26</v>
      </c>
      <c r="R270" s="3">
        <v>0</v>
      </c>
      <c r="S270" s="3" t="s">
        <v>209</v>
      </c>
      <c r="T270" s="3" t="s">
        <v>335</v>
      </c>
      <c r="U270" s="3">
        <v>0</v>
      </c>
      <c r="V270" s="3">
        <v>50</v>
      </c>
      <c r="W270" s="3">
        <v>83</v>
      </c>
    </row>
    <row r="271" spans="1:23" ht="11.25" customHeight="1" x14ac:dyDescent="0.25">
      <c r="A271" s="3" t="s">
        <v>21</v>
      </c>
      <c r="B271" s="3" t="s">
        <v>33</v>
      </c>
      <c r="C271" s="3" t="s">
        <v>23</v>
      </c>
      <c r="D271" s="3" t="s">
        <v>39</v>
      </c>
      <c r="E271" s="3" t="s">
        <v>25</v>
      </c>
      <c r="F271" s="3" t="s">
        <v>25</v>
      </c>
      <c r="G271" s="3" t="s">
        <v>25</v>
      </c>
      <c r="H271" s="3" t="s">
        <v>25</v>
      </c>
      <c r="I271" s="6">
        <v>44774</v>
      </c>
      <c r="J271" s="4">
        <v>0</v>
      </c>
      <c r="K271" s="4">
        <v>0</v>
      </c>
      <c r="L271" s="4">
        <v>211.303</v>
      </c>
      <c r="M271" s="4">
        <v>211.303</v>
      </c>
      <c r="N271" s="4">
        <v>211.303</v>
      </c>
      <c r="O271" s="4">
        <v>211.303</v>
      </c>
      <c r="P271" s="4">
        <v>525</v>
      </c>
      <c r="Q271" s="3" t="s">
        <v>26</v>
      </c>
      <c r="R271" s="3">
        <v>0</v>
      </c>
      <c r="S271" s="3" t="s">
        <v>210</v>
      </c>
      <c r="T271" s="3" t="s">
        <v>336</v>
      </c>
      <c r="U271" s="3">
        <v>0</v>
      </c>
      <c r="V271" s="3">
        <v>50</v>
      </c>
      <c r="W271" s="3">
        <v>83</v>
      </c>
    </row>
    <row r="272" spans="1:23" ht="11.25" customHeight="1" x14ac:dyDescent="0.25">
      <c r="A272" s="3" t="s">
        <v>28</v>
      </c>
      <c r="B272" s="3" t="s">
        <v>33</v>
      </c>
      <c r="C272" s="3" t="s">
        <v>23</v>
      </c>
      <c r="D272" s="3" t="s">
        <v>39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44774</v>
      </c>
      <c r="J272" s="4">
        <v>0</v>
      </c>
      <c r="K272" s="4">
        <v>0</v>
      </c>
      <c r="L272" s="4">
        <v>12.114000000000001</v>
      </c>
      <c r="M272" s="4">
        <v>12.114000000000001</v>
      </c>
      <c r="N272" s="4">
        <v>12.114000000000001</v>
      </c>
      <c r="O272" s="4">
        <v>12.114000000000001</v>
      </c>
      <c r="P272" s="4">
        <v>46</v>
      </c>
      <c r="Q272" s="3" t="s">
        <v>26</v>
      </c>
      <c r="R272" s="3">
        <v>0</v>
      </c>
      <c r="S272" s="3" t="s">
        <v>210</v>
      </c>
      <c r="T272" s="3" t="s">
        <v>336</v>
      </c>
      <c r="U272" s="3">
        <v>0</v>
      </c>
      <c r="V272" s="3">
        <v>50</v>
      </c>
      <c r="W272" s="3">
        <v>83</v>
      </c>
    </row>
    <row r="273" spans="1:23" ht="11.25" customHeight="1" x14ac:dyDescent="0.25">
      <c r="A273" s="3" t="s">
        <v>21</v>
      </c>
      <c r="B273" s="3" t="s">
        <v>33</v>
      </c>
      <c r="C273" s="3" t="s">
        <v>23</v>
      </c>
      <c r="D273" s="3" t="s">
        <v>49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44440</v>
      </c>
      <c r="J273" s="4">
        <v>0</v>
      </c>
      <c r="K273" s="4">
        <v>0</v>
      </c>
      <c r="L273" s="4">
        <v>2.0099999999999998</v>
      </c>
      <c r="M273" s="4">
        <v>2.0099999999999998</v>
      </c>
      <c r="N273" s="4">
        <v>2.0099999999999998</v>
      </c>
      <c r="O273" s="4">
        <v>2.0099999999999998</v>
      </c>
      <c r="P273" s="4">
        <v>1</v>
      </c>
      <c r="Q273" s="3" t="s">
        <v>26</v>
      </c>
      <c r="R273" s="3">
        <v>0</v>
      </c>
      <c r="S273" s="3" t="s">
        <v>199</v>
      </c>
      <c r="T273" s="3" t="s">
        <v>325</v>
      </c>
      <c r="U273" s="3">
        <v>0</v>
      </c>
      <c r="V273" s="3">
        <v>50</v>
      </c>
      <c r="W273" s="3">
        <v>83</v>
      </c>
    </row>
    <row r="274" spans="1:23" ht="11.25" customHeight="1" x14ac:dyDescent="0.25">
      <c r="A274" s="3" t="s">
        <v>21</v>
      </c>
      <c r="B274" s="3" t="s">
        <v>33</v>
      </c>
      <c r="C274" s="3" t="s">
        <v>23</v>
      </c>
      <c r="D274" s="3" t="s">
        <v>49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44470</v>
      </c>
      <c r="J274" s="4">
        <v>0</v>
      </c>
      <c r="K274" s="4">
        <v>0</v>
      </c>
      <c r="L274" s="4">
        <v>1.756</v>
      </c>
      <c r="M274" s="4">
        <v>1.756</v>
      </c>
      <c r="N274" s="4">
        <v>1.756</v>
      </c>
      <c r="O274" s="4">
        <v>1.756</v>
      </c>
      <c r="P274" s="4">
        <v>1</v>
      </c>
      <c r="Q274" s="3" t="s">
        <v>26</v>
      </c>
      <c r="R274" s="3">
        <v>0</v>
      </c>
      <c r="S274" s="3" t="s">
        <v>200</v>
      </c>
      <c r="T274" s="3" t="s">
        <v>326</v>
      </c>
      <c r="U274" s="3">
        <v>0</v>
      </c>
      <c r="V274" s="3">
        <v>50</v>
      </c>
      <c r="W274" s="3">
        <v>83</v>
      </c>
    </row>
    <row r="275" spans="1:23" ht="11.25" customHeight="1" x14ac:dyDescent="0.25">
      <c r="A275" s="3" t="s">
        <v>21</v>
      </c>
      <c r="B275" s="3" t="s">
        <v>33</v>
      </c>
      <c r="C275" s="3" t="s">
        <v>23</v>
      </c>
      <c r="D275" s="3" t="s">
        <v>49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44501</v>
      </c>
      <c r="J275" s="4">
        <v>0</v>
      </c>
      <c r="K275" s="4">
        <v>0</v>
      </c>
      <c r="L275" s="4">
        <v>2.3650000000000002</v>
      </c>
      <c r="M275" s="4">
        <v>2.3650000000000002</v>
      </c>
      <c r="N275" s="4">
        <v>2.3650000000000002</v>
      </c>
      <c r="O275" s="4">
        <v>2.3650000000000002</v>
      </c>
      <c r="P275" s="4">
        <v>1</v>
      </c>
      <c r="Q275" s="3" t="s">
        <v>26</v>
      </c>
      <c r="R275" s="3">
        <v>0</v>
      </c>
      <c r="S275" s="3" t="s">
        <v>201</v>
      </c>
      <c r="T275" s="3" t="s">
        <v>327</v>
      </c>
      <c r="U275" s="3">
        <v>0</v>
      </c>
      <c r="V275" s="3">
        <v>50</v>
      </c>
      <c r="W275" s="3">
        <v>83</v>
      </c>
    </row>
    <row r="276" spans="1:23" ht="11.25" customHeight="1" x14ac:dyDescent="0.25">
      <c r="A276" s="3" t="s">
        <v>21</v>
      </c>
      <c r="B276" s="3" t="s">
        <v>33</v>
      </c>
      <c r="C276" s="3" t="s">
        <v>23</v>
      </c>
      <c r="D276" s="3" t="s">
        <v>49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44531</v>
      </c>
      <c r="J276" s="4">
        <v>0</v>
      </c>
      <c r="K276" s="4">
        <v>0</v>
      </c>
      <c r="L276" s="4">
        <v>3.2789999999999999</v>
      </c>
      <c r="M276" s="4">
        <v>3.2789999999999999</v>
      </c>
      <c r="N276" s="4">
        <v>3.2789999999999999</v>
      </c>
      <c r="O276" s="4">
        <v>3.2789999999999999</v>
      </c>
      <c r="P276" s="4">
        <v>1</v>
      </c>
      <c r="Q276" s="3" t="s">
        <v>26</v>
      </c>
      <c r="R276" s="3">
        <v>0</v>
      </c>
      <c r="S276" s="3" t="s">
        <v>202</v>
      </c>
      <c r="T276" s="3" t="s">
        <v>328</v>
      </c>
      <c r="U276" s="3">
        <v>0</v>
      </c>
      <c r="V276" s="3">
        <v>50</v>
      </c>
      <c r="W276" s="3">
        <v>83</v>
      </c>
    </row>
    <row r="277" spans="1:23" ht="11.25" customHeight="1" x14ac:dyDescent="0.25">
      <c r="A277" s="3" t="s">
        <v>21</v>
      </c>
      <c r="B277" s="3" t="s">
        <v>33</v>
      </c>
      <c r="C277" s="3" t="s">
        <v>23</v>
      </c>
      <c r="D277" s="3" t="s">
        <v>49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44562</v>
      </c>
      <c r="J277" s="4">
        <v>0</v>
      </c>
      <c r="K277" s="4">
        <v>0</v>
      </c>
      <c r="L277" s="4">
        <v>3.6179999999999999</v>
      </c>
      <c r="M277" s="4">
        <v>3.6179999999999999</v>
      </c>
      <c r="N277" s="4">
        <v>3.6179999999999999</v>
      </c>
      <c r="O277" s="4">
        <v>3.6179999999999999</v>
      </c>
      <c r="P277" s="4">
        <v>1</v>
      </c>
      <c r="Q277" s="3" t="s">
        <v>26</v>
      </c>
      <c r="R277" s="3">
        <v>0</v>
      </c>
      <c r="S277" s="3" t="s">
        <v>203</v>
      </c>
      <c r="T277" s="3" t="s">
        <v>329</v>
      </c>
      <c r="U277" s="3">
        <v>0</v>
      </c>
      <c r="V277" s="3">
        <v>50</v>
      </c>
      <c r="W277" s="3">
        <v>83</v>
      </c>
    </row>
    <row r="278" spans="1:23" ht="11.25" customHeight="1" x14ac:dyDescent="0.25">
      <c r="A278" s="3" t="s">
        <v>21</v>
      </c>
      <c r="B278" s="3" t="s">
        <v>33</v>
      </c>
      <c r="C278" s="3" t="s">
        <v>23</v>
      </c>
      <c r="D278" s="3" t="s">
        <v>49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44593</v>
      </c>
      <c r="J278" s="4">
        <v>0</v>
      </c>
      <c r="K278" s="4">
        <v>0</v>
      </c>
      <c r="L278" s="4">
        <v>3.5920000000000001</v>
      </c>
      <c r="M278" s="4">
        <v>3.5920000000000001</v>
      </c>
      <c r="N278" s="4">
        <v>3.5920000000000001</v>
      </c>
      <c r="O278" s="4">
        <v>3.5920000000000001</v>
      </c>
      <c r="P278" s="4">
        <v>1</v>
      </c>
      <c r="Q278" s="3" t="s">
        <v>26</v>
      </c>
      <c r="R278" s="3">
        <v>0</v>
      </c>
      <c r="S278" s="3" t="s">
        <v>204</v>
      </c>
      <c r="T278" s="3" t="s">
        <v>330</v>
      </c>
      <c r="U278" s="3">
        <v>0</v>
      </c>
      <c r="V278" s="3">
        <v>50</v>
      </c>
      <c r="W278" s="3">
        <v>83</v>
      </c>
    </row>
    <row r="279" spans="1:23" ht="11.25" customHeight="1" x14ac:dyDescent="0.25">
      <c r="A279" s="3" t="s">
        <v>21</v>
      </c>
      <c r="B279" s="3" t="s">
        <v>33</v>
      </c>
      <c r="C279" s="3" t="s">
        <v>23</v>
      </c>
      <c r="D279" s="3" t="s">
        <v>49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44621</v>
      </c>
      <c r="J279" s="4">
        <v>0</v>
      </c>
      <c r="K279" s="4">
        <v>0</v>
      </c>
      <c r="L279" s="4">
        <v>3.01</v>
      </c>
      <c r="M279" s="4">
        <v>3.01</v>
      </c>
      <c r="N279" s="4">
        <v>3.01</v>
      </c>
      <c r="O279" s="4">
        <v>3.01</v>
      </c>
      <c r="P279" s="4">
        <v>1</v>
      </c>
      <c r="Q279" s="3" t="s">
        <v>26</v>
      </c>
      <c r="R279" s="3">
        <v>0</v>
      </c>
      <c r="S279" s="3" t="s">
        <v>205</v>
      </c>
      <c r="T279" s="3" t="s">
        <v>331</v>
      </c>
      <c r="U279" s="3">
        <v>0</v>
      </c>
      <c r="V279" s="3">
        <v>50</v>
      </c>
      <c r="W279" s="3">
        <v>83</v>
      </c>
    </row>
    <row r="280" spans="1:23" ht="11.25" customHeight="1" x14ac:dyDescent="0.25">
      <c r="A280" s="3" t="s">
        <v>21</v>
      </c>
      <c r="B280" s="3" t="s">
        <v>33</v>
      </c>
      <c r="C280" s="3" t="s">
        <v>23</v>
      </c>
      <c r="D280" s="3" t="s">
        <v>49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44652</v>
      </c>
      <c r="J280" s="4">
        <v>0</v>
      </c>
      <c r="K280" s="4">
        <v>0</v>
      </c>
      <c r="L280" s="4">
        <v>2.379</v>
      </c>
      <c r="M280" s="4">
        <v>2.379</v>
      </c>
      <c r="N280" s="4">
        <v>2.379</v>
      </c>
      <c r="O280" s="4">
        <v>2.379</v>
      </c>
      <c r="P280" s="4">
        <v>1</v>
      </c>
      <c r="Q280" s="3" t="s">
        <v>26</v>
      </c>
      <c r="R280" s="3">
        <v>0</v>
      </c>
      <c r="S280" s="3" t="s">
        <v>206</v>
      </c>
      <c r="T280" s="3" t="s">
        <v>332</v>
      </c>
      <c r="U280" s="3">
        <v>0</v>
      </c>
      <c r="V280" s="3">
        <v>50</v>
      </c>
      <c r="W280" s="3">
        <v>83</v>
      </c>
    </row>
    <row r="281" spans="1:23" ht="11.25" customHeight="1" x14ac:dyDescent="0.25">
      <c r="A281" s="3" t="s">
        <v>21</v>
      </c>
      <c r="B281" s="3" t="s">
        <v>33</v>
      </c>
      <c r="C281" s="3" t="s">
        <v>23</v>
      </c>
      <c r="D281" s="3" t="s">
        <v>49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44682</v>
      </c>
      <c r="J281" s="4">
        <v>0</v>
      </c>
      <c r="K281" s="4">
        <v>0</v>
      </c>
      <c r="L281" s="4">
        <v>2.044</v>
      </c>
      <c r="M281" s="4">
        <v>2.044</v>
      </c>
      <c r="N281" s="4">
        <v>2.044</v>
      </c>
      <c r="O281" s="4">
        <v>2.044</v>
      </c>
      <c r="P281" s="4">
        <v>1</v>
      </c>
      <c r="Q281" s="3" t="s">
        <v>26</v>
      </c>
      <c r="R281" s="3">
        <v>0</v>
      </c>
      <c r="S281" s="3" t="s">
        <v>207</v>
      </c>
      <c r="T281" s="3" t="s">
        <v>333</v>
      </c>
      <c r="U281" s="3">
        <v>0</v>
      </c>
      <c r="V281" s="3">
        <v>50</v>
      </c>
      <c r="W281" s="3">
        <v>83</v>
      </c>
    </row>
    <row r="282" spans="1:23" ht="11.25" customHeight="1" x14ac:dyDescent="0.25">
      <c r="A282" s="3" t="s">
        <v>21</v>
      </c>
      <c r="B282" s="3" t="s">
        <v>33</v>
      </c>
      <c r="C282" s="3" t="s">
        <v>23</v>
      </c>
      <c r="D282" s="3" t="s">
        <v>49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44713</v>
      </c>
      <c r="J282" s="4">
        <v>0</v>
      </c>
      <c r="K282" s="4">
        <v>0</v>
      </c>
      <c r="L282" s="4">
        <v>2.254</v>
      </c>
      <c r="M282" s="4">
        <v>2.254</v>
      </c>
      <c r="N282" s="4">
        <v>2.254</v>
      </c>
      <c r="O282" s="4">
        <v>2.254</v>
      </c>
      <c r="P282" s="4">
        <v>1</v>
      </c>
      <c r="Q282" s="3" t="s">
        <v>26</v>
      </c>
      <c r="R282" s="3">
        <v>0</v>
      </c>
      <c r="S282" s="3" t="s">
        <v>208</v>
      </c>
      <c r="T282" s="3" t="s">
        <v>334</v>
      </c>
      <c r="U282" s="3">
        <v>0</v>
      </c>
      <c r="V282" s="3">
        <v>50</v>
      </c>
      <c r="W282" s="3">
        <v>83</v>
      </c>
    </row>
    <row r="283" spans="1:23" ht="11.25" customHeight="1" x14ac:dyDescent="0.25">
      <c r="A283" s="3" t="s">
        <v>21</v>
      </c>
      <c r="B283" s="3" t="s">
        <v>33</v>
      </c>
      <c r="C283" s="3" t="s">
        <v>23</v>
      </c>
      <c r="D283" s="3" t="s">
        <v>49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44743</v>
      </c>
      <c r="J283" s="4">
        <v>0</v>
      </c>
      <c r="K283" s="4">
        <v>0</v>
      </c>
      <c r="L283" s="4">
        <v>2.3170000000000002</v>
      </c>
      <c r="M283" s="4">
        <v>2.3170000000000002</v>
      </c>
      <c r="N283" s="4">
        <v>2.3170000000000002</v>
      </c>
      <c r="O283" s="4">
        <v>2.3170000000000002</v>
      </c>
      <c r="P283" s="4">
        <v>1</v>
      </c>
      <c r="Q283" s="3" t="s">
        <v>26</v>
      </c>
      <c r="R283" s="3">
        <v>0</v>
      </c>
      <c r="S283" s="3" t="s">
        <v>209</v>
      </c>
      <c r="T283" s="3" t="s">
        <v>335</v>
      </c>
      <c r="U283" s="3">
        <v>0</v>
      </c>
      <c r="V283" s="3">
        <v>50</v>
      </c>
      <c r="W283" s="3">
        <v>83</v>
      </c>
    </row>
    <row r="284" spans="1:23" ht="11.25" customHeight="1" x14ac:dyDescent="0.25">
      <c r="A284" s="3" t="s">
        <v>21</v>
      </c>
      <c r="B284" s="3" t="s">
        <v>33</v>
      </c>
      <c r="C284" s="3" t="s">
        <v>23</v>
      </c>
      <c r="D284" s="3" t="s">
        <v>49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44774</v>
      </c>
      <c r="J284" s="4">
        <v>0</v>
      </c>
      <c r="K284" s="4">
        <v>0</v>
      </c>
      <c r="L284" s="4">
        <v>1.976</v>
      </c>
      <c r="M284" s="4">
        <v>1.976</v>
      </c>
      <c r="N284" s="4">
        <v>1.976</v>
      </c>
      <c r="O284" s="4">
        <v>1.976</v>
      </c>
      <c r="P284" s="4">
        <v>1</v>
      </c>
      <c r="Q284" s="3" t="s">
        <v>26</v>
      </c>
      <c r="R284" s="3">
        <v>0</v>
      </c>
      <c r="S284" s="3" t="s">
        <v>210</v>
      </c>
      <c r="T284" s="3" t="s">
        <v>336</v>
      </c>
      <c r="U284" s="3">
        <v>0</v>
      </c>
      <c r="V284" s="3">
        <v>50</v>
      </c>
      <c r="W284" s="3">
        <v>83</v>
      </c>
    </row>
    <row r="285" spans="1:23" ht="11.25" customHeight="1" x14ac:dyDescent="0.25">
      <c r="A285" s="3" t="s">
        <v>21</v>
      </c>
      <c r="B285" s="3" t="s">
        <v>33</v>
      </c>
      <c r="C285" s="3" t="s">
        <v>23</v>
      </c>
      <c r="D285" s="3" t="s">
        <v>34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44440</v>
      </c>
      <c r="J285" s="4">
        <v>0</v>
      </c>
      <c r="K285" s="4">
        <v>0</v>
      </c>
      <c r="L285" s="4">
        <v>67.537999999999997</v>
      </c>
      <c r="M285" s="4">
        <v>67.537999999999997</v>
      </c>
      <c r="N285" s="4">
        <v>67.537999999999997</v>
      </c>
      <c r="O285" s="4">
        <v>67.537999999999997</v>
      </c>
      <c r="P285" s="4">
        <v>60</v>
      </c>
      <c r="Q285" s="3" t="s">
        <v>26</v>
      </c>
      <c r="R285" s="3">
        <v>0</v>
      </c>
      <c r="S285" s="3" t="s">
        <v>199</v>
      </c>
      <c r="T285" s="3" t="s">
        <v>325</v>
      </c>
      <c r="U285" s="3">
        <v>0</v>
      </c>
      <c r="V285" s="3">
        <v>50</v>
      </c>
      <c r="W285" s="3">
        <v>83</v>
      </c>
    </row>
    <row r="286" spans="1:23" ht="11.25" customHeight="1" x14ac:dyDescent="0.25">
      <c r="A286" s="3" t="s">
        <v>28</v>
      </c>
      <c r="B286" s="3" t="s">
        <v>33</v>
      </c>
      <c r="C286" s="3" t="s">
        <v>23</v>
      </c>
      <c r="D286" s="3" t="s">
        <v>34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44440</v>
      </c>
      <c r="J286" s="4">
        <v>0</v>
      </c>
      <c r="K286" s="4">
        <v>0</v>
      </c>
      <c r="L286" s="4">
        <v>49.024000000000001</v>
      </c>
      <c r="M286" s="4">
        <v>49.024000000000001</v>
      </c>
      <c r="N286" s="4">
        <v>49.024000000000001</v>
      </c>
      <c r="O286" s="4">
        <v>49.024000000000001</v>
      </c>
      <c r="P286" s="4">
        <v>8</v>
      </c>
      <c r="Q286" s="3" t="s">
        <v>26</v>
      </c>
      <c r="R286" s="3">
        <v>0</v>
      </c>
      <c r="S286" s="3" t="s">
        <v>199</v>
      </c>
      <c r="T286" s="3" t="s">
        <v>325</v>
      </c>
      <c r="U286" s="3">
        <v>0</v>
      </c>
      <c r="V286" s="3">
        <v>50</v>
      </c>
      <c r="W286" s="3">
        <v>83</v>
      </c>
    </row>
    <row r="287" spans="1:23" ht="11.25" customHeight="1" x14ac:dyDescent="0.25">
      <c r="A287" s="3" t="s">
        <v>21</v>
      </c>
      <c r="B287" s="3" t="s">
        <v>33</v>
      </c>
      <c r="C287" s="3" t="s">
        <v>23</v>
      </c>
      <c r="D287" s="3" t="s">
        <v>34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44470</v>
      </c>
      <c r="J287" s="4">
        <v>0</v>
      </c>
      <c r="K287" s="4">
        <v>0</v>
      </c>
      <c r="L287" s="4">
        <v>58.487000000000002</v>
      </c>
      <c r="M287" s="4">
        <v>58.487000000000002</v>
      </c>
      <c r="N287" s="4">
        <v>58.487000000000002</v>
      </c>
      <c r="O287" s="4">
        <v>58.487000000000002</v>
      </c>
      <c r="P287" s="4">
        <v>59</v>
      </c>
      <c r="Q287" s="3" t="s">
        <v>26</v>
      </c>
      <c r="R287" s="3">
        <v>0</v>
      </c>
      <c r="S287" s="3" t="s">
        <v>200</v>
      </c>
      <c r="T287" s="3" t="s">
        <v>326</v>
      </c>
      <c r="U287" s="3">
        <v>0</v>
      </c>
      <c r="V287" s="3">
        <v>50</v>
      </c>
      <c r="W287" s="3">
        <v>83</v>
      </c>
    </row>
    <row r="288" spans="1:23" ht="11.25" customHeight="1" x14ac:dyDescent="0.25">
      <c r="A288" s="3" t="s">
        <v>28</v>
      </c>
      <c r="B288" s="3" t="s">
        <v>33</v>
      </c>
      <c r="C288" s="3" t="s">
        <v>23</v>
      </c>
      <c r="D288" s="3" t="s">
        <v>34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44470</v>
      </c>
      <c r="J288" s="4">
        <v>0</v>
      </c>
      <c r="K288" s="4">
        <v>0</v>
      </c>
      <c r="L288" s="4">
        <v>39.283000000000001</v>
      </c>
      <c r="M288" s="4">
        <v>39.283000000000001</v>
      </c>
      <c r="N288" s="4">
        <v>39.283000000000001</v>
      </c>
      <c r="O288" s="4">
        <v>39.283000000000001</v>
      </c>
      <c r="P288" s="4">
        <v>9</v>
      </c>
      <c r="Q288" s="3" t="s">
        <v>26</v>
      </c>
      <c r="R288" s="3">
        <v>0</v>
      </c>
      <c r="S288" s="3" t="s">
        <v>200</v>
      </c>
      <c r="T288" s="3" t="s">
        <v>326</v>
      </c>
      <c r="U288" s="3">
        <v>0</v>
      </c>
      <c r="V288" s="3">
        <v>50</v>
      </c>
      <c r="W288" s="3">
        <v>83</v>
      </c>
    </row>
    <row r="289" spans="1:23" ht="11.25" customHeight="1" x14ac:dyDescent="0.25">
      <c r="A289" s="3" t="s">
        <v>21</v>
      </c>
      <c r="B289" s="3" t="s">
        <v>33</v>
      </c>
      <c r="C289" s="3" t="s">
        <v>23</v>
      </c>
      <c r="D289" s="3" t="s">
        <v>34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44501</v>
      </c>
      <c r="J289" s="4">
        <v>0</v>
      </c>
      <c r="K289" s="4">
        <v>0</v>
      </c>
      <c r="L289" s="4">
        <v>64.322000000000003</v>
      </c>
      <c r="M289" s="4">
        <v>64.322000000000003</v>
      </c>
      <c r="N289" s="4">
        <v>64.322000000000003</v>
      </c>
      <c r="O289" s="4">
        <v>64.322000000000003</v>
      </c>
      <c r="P289" s="4">
        <v>57</v>
      </c>
      <c r="Q289" s="3" t="s">
        <v>26</v>
      </c>
      <c r="R289" s="3">
        <v>0</v>
      </c>
      <c r="S289" s="3" t="s">
        <v>201</v>
      </c>
      <c r="T289" s="3" t="s">
        <v>327</v>
      </c>
      <c r="U289" s="3">
        <v>0</v>
      </c>
      <c r="V289" s="3">
        <v>50</v>
      </c>
      <c r="W289" s="3">
        <v>83</v>
      </c>
    </row>
    <row r="290" spans="1:23" ht="11.25" customHeight="1" x14ac:dyDescent="0.25">
      <c r="A290" s="3" t="s">
        <v>28</v>
      </c>
      <c r="B290" s="3" t="s">
        <v>33</v>
      </c>
      <c r="C290" s="3" t="s">
        <v>23</v>
      </c>
      <c r="D290" s="3" t="s">
        <v>34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44501</v>
      </c>
      <c r="J290" s="4">
        <v>0</v>
      </c>
      <c r="K290" s="4">
        <v>0</v>
      </c>
      <c r="L290" s="4">
        <v>27.760999999999999</v>
      </c>
      <c r="M290" s="4">
        <v>27.760999999999999</v>
      </c>
      <c r="N290" s="4">
        <v>27.760999999999999</v>
      </c>
      <c r="O290" s="4">
        <v>27.760999999999999</v>
      </c>
      <c r="P290" s="4">
        <v>11</v>
      </c>
      <c r="Q290" s="3" t="s">
        <v>26</v>
      </c>
      <c r="R290" s="3">
        <v>0</v>
      </c>
      <c r="S290" s="3" t="s">
        <v>201</v>
      </c>
      <c r="T290" s="3" t="s">
        <v>327</v>
      </c>
      <c r="U290" s="3">
        <v>0</v>
      </c>
      <c r="V290" s="3">
        <v>50</v>
      </c>
      <c r="W290" s="3">
        <v>83</v>
      </c>
    </row>
    <row r="291" spans="1:23" ht="11.25" customHeight="1" x14ac:dyDescent="0.25">
      <c r="A291" s="3" t="s">
        <v>21</v>
      </c>
      <c r="B291" s="3" t="s">
        <v>33</v>
      </c>
      <c r="C291" s="3" t="s">
        <v>23</v>
      </c>
      <c r="D291" s="3" t="s">
        <v>34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44531</v>
      </c>
      <c r="J291" s="4">
        <v>0</v>
      </c>
      <c r="K291" s="4">
        <v>0</v>
      </c>
      <c r="L291" s="4">
        <v>65.789000000000001</v>
      </c>
      <c r="M291" s="4">
        <v>65.789000000000001</v>
      </c>
      <c r="N291" s="4">
        <v>65.789000000000001</v>
      </c>
      <c r="O291" s="4">
        <v>65.789000000000001</v>
      </c>
      <c r="P291" s="4">
        <v>57</v>
      </c>
      <c r="Q291" s="3" t="s">
        <v>26</v>
      </c>
      <c r="R291" s="3">
        <v>0</v>
      </c>
      <c r="S291" s="3" t="s">
        <v>202</v>
      </c>
      <c r="T291" s="3" t="s">
        <v>328</v>
      </c>
      <c r="U291" s="3">
        <v>0</v>
      </c>
      <c r="V291" s="3">
        <v>50</v>
      </c>
      <c r="W291" s="3">
        <v>83</v>
      </c>
    </row>
    <row r="292" spans="1:23" ht="11.25" customHeight="1" x14ac:dyDescent="0.25">
      <c r="A292" s="3" t="s">
        <v>28</v>
      </c>
      <c r="B292" s="3" t="s">
        <v>33</v>
      </c>
      <c r="C292" s="3" t="s">
        <v>23</v>
      </c>
      <c r="D292" s="3" t="s">
        <v>34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44531</v>
      </c>
      <c r="J292" s="4">
        <v>0</v>
      </c>
      <c r="K292" s="4">
        <v>0</v>
      </c>
      <c r="L292" s="4">
        <v>21.628</v>
      </c>
      <c r="M292" s="4">
        <v>21.628</v>
      </c>
      <c r="N292" s="4">
        <v>21.628</v>
      </c>
      <c r="O292" s="4">
        <v>21.628</v>
      </c>
      <c r="P292" s="4">
        <v>11</v>
      </c>
      <c r="Q292" s="3" t="s">
        <v>26</v>
      </c>
      <c r="R292" s="3">
        <v>0</v>
      </c>
      <c r="S292" s="3" t="s">
        <v>202</v>
      </c>
      <c r="T292" s="3" t="s">
        <v>328</v>
      </c>
      <c r="U292" s="3">
        <v>0</v>
      </c>
      <c r="V292" s="3">
        <v>50</v>
      </c>
      <c r="W292" s="3">
        <v>83</v>
      </c>
    </row>
    <row r="293" spans="1:23" ht="11.25" customHeight="1" x14ac:dyDescent="0.25">
      <c r="A293" s="3" t="s">
        <v>21</v>
      </c>
      <c r="B293" s="3" t="s">
        <v>33</v>
      </c>
      <c r="C293" s="3" t="s">
        <v>23</v>
      </c>
      <c r="D293" s="3" t="s">
        <v>34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44562</v>
      </c>
      <c r="J293" s="4">
        <v>0</v>
      </c>
      <c r="K293" s="4">
        <v>0</v>
      </c>
      <c r="L293" s="4">
        <v>63.960999999999999</v>
      </c>
      <c r="M293" s="4">
        <v>63.960999999999999</v>
      </c>
      <c r="N293" s="4">
        <v>63.960999999999999</v>
      </c>
      <c r="O293" s="4">
        <v>63.960999999999999</v>
      </c>
      <c r="P293" s="4">
        <v>57</v>
      </c>
      <c r="Q293" s="3" t="s">
        <v>26</v>
      </c>
      <c r="R293" s="3">
        <v>0</v>
      </c>
      <c r="S293" s="3" t="s">
        <v>203</v>
      </c>
      <c r="T293" s="3" t="s">
        <v>329</v>
      </c>
      <c r="U293" s="3">
        <v>0</v>
      </c>
      <c r="V293" s="3">
        <v>50</v>
      </c>
      <c r="W293" s="3">
        <v>83</v>
      </c>
    </row>
    <row r="294" spans="1:23" ht="11.25" customHeight="1" x14ac:dyDescent="0.25">
      <c r="A294" s="3" t="s">
        <v>28</v>
      </c>
      <c r="B294" s="3" t="s">
        <v>33</v>
      </c>
      <c r="C294" s="3" t="s">
        <v>23</v>
      </c>
      <c r="D294" s="3" t="s">
        <v>34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44562</v>
      </c>
      <c r="J294" s="4">
        <v>0</v>
      </c>
      <c r="K294" s="4">
        <v>0</v>
      </c>
      <c r="L294" s="4">
        <v>2.7559999999999998</v>
      </c>
      <c r="M294" s="4">
        <v>2.7559999999999998</v>
      </c>
      <c r="N294" s="4">
        <v>2.7559999999999998</v>
      </c>
      <c r="O294" s="4">
        <v>2.7559999999999998</v>
      </c>
      <c r="P294" s="4">
        <v>11</v>
      </c>
      <c r="Q294" s="3" t="s">
        <v>26</v>
      </c>
      <c r="R294" s="3">
        <v>0</v>
      </c>
      <c r="S294" s="3" t="s">
        <v>203</v>
      </c>
      <c r="T294" s="3" t="s">
        <v>329</v>
      </c>
      <c r="U294" s="3">
        <v>0</v>
      </c>
      <c r="V294" s="3">
        <v>50</v>
      </c>
      <c r="W294" s="3">
        <v>83</v>
      </c>
    </row>
    <row r="295" spans="1:23" ht="11.25" customHeight="1" x14ac:dyDescent="0.25">
      <c r="A295" s="3" t="s">
        <v>21</v>
      </c>
      <c r="B295" s="3" t="s">
        <v>33</v>
      </c>
      <c r="C295" s="3" t="s">
        <v>23</v>
      </c>
      <c r="D295" s="3" t="s">
        <v>34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44593</v>
      </c>
      <c r="J295" s="4">
        <v>0</v>
      </c>
      <c r="K295" s="4">
        <v>0</v>
      </c>
      <c r="L295" s="4">
        <v>72.070999999999998</v>
      </c>
      <c r="M295" s="4">
        <v>72.070999999999998</v>
      </c>
      <c r="N295" s="4">
        <v>72.070999999999998</v>
      </c>
      <c r="O295" s="4">
        <v>72.070999999999998</v>
      </c>
      <c r="P295" s="4">
        <v>56</v>
      </c>
      <c r="Q295" s="3" t="s">
        <v>26</v>
      </c>
      <c r="R295" s="3">
        <v>0</v>
      </c>
      <c r="S295" s="3" t="s">
        <v>204</v>
      </c>
      <c r="T295" s="3" t="s">
        <v>330</v>
      </c>
      <c r="U295" s="3">
        <v>0</v>
      </c>
      <c r="V295" s="3">
        <v>50</v>
      </c>
      <c r="W295" s="3">
        <v>83</v>
      </c>
    </row>
    <row r="296" spans="1:23" ht="11.25" customHeight="1" x14ac:dyDescent="0.25">
      <c r="A296" s="3" t="s">
        <v>28</v>
      </c>
      <c r="B296" s="3" t="s">
        <v>33</v>
      </c>
      <c r="C296" s="3" t="s">
        <v>23</v>
      </c>
      <c r="D296" s="3" t="s">
        <v>34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44593</v>
      </c>
      <c r="J296" s="4">
        <v>0</v>
      </c>
      <c r="K296" s="4">
        <v>0</v>
      </c>
      <c r="L296" s="4">
        <v>43.009</v>
      </c>
      <c r="M296" s="4">
        <v>43.009</v>
      </c>
      <c r="N296" s="4">
        <v>43.009</v>
      </c>
      <c r="O296" s="4">
        <v>43.009</v>
      </c>
      <c r="P296" s="4">
        <v>11</v>
      </c>
      <c r="Q296" s="3" t="s">
        <v>26</v>
      </c>
      <c r="R296" s="3">
        <v>0</v>
      </c>
      <c r="S296" s="3" t="s">
        <v>204</v>
      </c>
      <c r="T296" s="3" t="s">
        <v>330</v>
      </c>
      <c r="U296" s="3">
        <v>0</v>
      </c>
      <c r="V296" s="3">
        <v>50</v>
      </c>
      <c r="W296" s="3">
        <v>83</v>
      </c>
    </row>
    <row r="297" spans="1:23" ht="11.25" customHeight="1" x14ac:dyDescent="0.25">
      <c r="A297" s="3" t="s">
        <v>21</v>
      </c>
      <c r="B297" s="3" t="s">
        <v>33</v>
      </c>
      <c r="C297" s="3" t="s">
        <v>23</v>
      </c>
      <c r="D297" s="3" t="s">
        <v>34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44621</v>
      </c>
      <c r="J297" s="4">
        <v>0</v>
      </c>
      <c r="K297" s="4">
        <v>0</v>
      </c>
      <c r="L297" s="4">
        <v>62.691000000000003</v>
      </c>
      <c r="M297" s="4">
        <v>62.691000000000003</v>
      </c>
      <c r="N297" s="4">
        <v>62.691000000000003</v>
      </c>
      <c r="O297" s="4">
        <v>62.691000000000003</v>
      </c>
      <c r="P297" s="4">
        <v>54</v>
      </c>
      <c r="Q297" s="3" t="s">
        <v>26</v>
      </c>
      <c r="R297" s="3">
        <v>0</v>
      </c>
      <c r="S297" s="3" t="s">
        <v>205</v>
      </c>
      <c r="T297" s="3" t="s">
        <v>331</v>
      </c>
      <c r="U297" s="3">
        <v>0</v>
      </c>
      <c r="V297" s="3">
        <v>50</v>
      </c>
      <c r="W297" s="3">
        <v>83</v>
      </c>
    </row>
    <row r="298" spans="1:23" ht="11.25" customHeight="1" x14ac:dyDescent="0.25">
      <c r="A298" s="3" t="s">
        <v>28</v>
      </c>
      <c r="B298" s="3" t="s">
        <v>33</v>
      </c>
      <c r="C298" s="3" t="s">
        <v>23</v>
      </c>
      <c r="D298" s="3" t="s">
        <v>34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44621</v>
      </c>
      <c r="J298" s="4">
        <v>0</v>
      </c>
      <c r="K298" s="4">
        <v>0</v>
      </c>
      <c r="L298" s="4">
        <v>39.142000000000003</v>
      </c>
      <c r="M298" s="4">
        <v>39.142000000000003</v>
      </c>
      <c r="N298" s="4">
        <v>39.142000000000003</v>
      </c>
      <c r="O298" s="4">
        <v>39.142000000000003</v>
      </c>
      <c r="P298" s="4">
        <v>13</v>
      </c>
      <c r="Q298" s="3" t="s">
        <v>26</v>
      </c>
      <c r="R298" s="3">
        <v>0</v>
      </c>
      <c r="S298" s="3" t="s">
        <v>205</v>
      </c>
      <c r="T298" s="3" t="s">
        <v>331</v>
      </c>
      <c r="U298" s="3">
        <v>0</v>
      </c>
      <c r="V298" s="3">
        <v>50</v>
      </c>
      <c r="W298" s="3">
        <v>83</v>
      </c>
    </row>
    <row r="299" spans="1:23" ht="11.25" customHeight="1" x14ac:dyDescent="0.25">
      <c r="A299" s="3" t="s">
        <v>21</v>
      </c>
      <c r="B299" s="3" t="s">
        <v>33</v>
      </c>
      <c r="C299" s="3" t="s">
        <v>23</v>
      </c>
      <c r="D299" s="3" t="s">
        <v>34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44652</v>
      </c>
      <c r="J299" s="4">
        <v>0</v>
      </c>
      <c r="K299" s="4">
        <v>0</v>
      </c>
      <c r="L299" s="4">
        <v>56.44</v>
      </c>
      <c r="M299" s="4">
        <v>56.44</v>
      </c>
      <c r="N299" s="4">
        <v>56.44</v>
      </c>
      <c r="O299" s="4">
        <v>56.44</v>
      </c>
      <c r="P299" s="4">
        <v>54</v>
      </c>
      <c r="Q299" s="3" t="s">
        <v>26</v>
      </c>
      <c r="R299" s="3">
        <v>0</v>
      </c>
      <c r="S299" s="3" t="s">
        <v>206</v>
      </c>
      <c r="T299" s="3" t="s">
        <v>332</v>
      </c>
      <c r="U299" s="3">
        <v>0</v>
      </c>
      <c r="V299" s="3">
        <v>50</v>
      </c>
      <c r="W299" s="3">
        <v>83</v>
      </c>
    </row>
    <row r="300" spans="1:23" ht="11.25" customHeight="1" x14ac:dyDescent="0.25">
      <c r="A300" s="3" t="s">
        <v>28</v>
      </c>
      <c r="B300" s="3" t="s">
        <v>33</v>
      </c>
      <c r="C300" s="3" t="s">
        <v>23</v>
      </c>
      <c r="D300" s="3" t="s">
        <v>34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44652</v>
      </c>
      <c r="J300" s="4">
        <v>0</v>
      </c>
      <c r="K300" s="4">
        <v>0</v>
      </c>
      <c r="L300" s="4">
        <v>29.501999999999999</v>
      </c>
      <c r="M300" s="4">
        <v>29.501999999999999</v>
      </c>
      <c r="N300" s="4">
        <v>29.501999999999999</v>
      </c>
      <c r="O300" s="4">
        <v>29.501999999999999</v>
      </c>
      <c r="P300" s="4">
        <v>13</v>
      </c>
      <c r="Q300" s="3" t="s">
        <v>26</v>
      </c>
      <c r="R300" s="3">
        <v>0</v>
      </c>
      <c r="S300" s="3" t="s">
        <v>206</v>
      </c>
      <c r="T300" s="3" t="s">
        <v>332</v>
      </c>
      <c r="U300" s="3">
        <v>0</v>
      </c>
      <c r="V300" s="3">
        <v>50</v>
      </c>
      <c r="W300" s="3">
        <v>83</v>
      </c>
    </row>
    <row r="301" spans="1:23" ht="11.25" customHeight="1" x14ac:dyDescent="0.25">
      <c r="A301" s="3" t="s">
        <v>21</v>
      </c>
      <c r="B301" s="3" t="s">
        <v>33</v>
      </c>
      <c r="C301" s="3" t="s">
        <v>23</v>
      </c>
      <c r="D301" s="3" t="s">
        <v>34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44682</v>
      </c>
      <c r="J301" s="4">
        <v>0</v>
      </c>
      <c r="K301" s="4">
        <v>0</v>
      </c>
      <c r="L301" s="4">
        <v>58.268999999999998</v>
      </c>
      <c r="M301" s="4">
        <v>58.268999999999998</v>
      </c>
      <c r="N301" s="4">
        <v>58.268999999999998</v>
      </c>
      <c r="O301" s="4">
        <v>58.268999999999998</v>
      </c>
      <c r="P301" s="4">
        <v>55</v>
      </c>
      <c r="Q301" s="3" t="s">
        <v>26</v>
      </c>
      <c r="R301" s="3">
        <v>0</v>
      </c>
      <c r="S301" s="3" t="s">
        <v>207</v>
      </c>
      <c r="T301" s="3" t="s">
        <v>333</v>
      </c>
      <c r="U301" s="3">
        <v>0</v>
      </c>
      <c r="V301" s="3">
        <v>50</v>
      </c>
      <c r="W301" s="3">
        <v>83</v>
      </c>
    </row>
    <row r="302" spans="1:23" ht="11.25" customHeight="1" x14ac:dyDescent="0.25">
      <c r="A302" s="3" t="s">
        <v>28</v>
      </c>
      <c r="B302" s="3" t="s">
        <v>33</v>
      </c>
      <c r="C302" s="3" t="s">
        <v>23</v>
      </c>
      <c r="D302" s="3" t="s">
        <v>34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44682</v>
      </c>
      <c r="J302" s="4">
        <v>0</v>
      </c>
      <c r="K302" s="4">
        <v>0</v>
      </c>
      <c r="L302" s="4">
        <v>32.993000000000002</v>
      </c>
      <c r="M302" s="4">
        <v>32.993000000000002</v>
      </c>
      <c r="N302" s="4">
        <v>32.993000000000002</v>
      </c>
      <c r="O302" s="4">
        <v>32.993000000000002</v>
      </c>
      <c r="P302" s="4">
        <v>12</v>
      </c>
      <c r="Q302" s="3" t="s">
        <v>26</v>
      </c>
      <c r="R302" s="3">
        <v>0</v>
      </c>
      <c r="S302" s="3" t="s">
        <v>207</v>
      </c>
      <c r="T302" s="3" t="s">
        <v>333</v>
      </c>
      <c r="U302" s="3">
        <v>0</v>
      </c>
      <c r="V302" s="3">
        <v>50</v>
      </c>
      <c r="W302" s="3">
        <v>83</v>
      </c>
    </row>
    <row r="303" spans="1:23" ht="11.25" customHeight="1" x14ac:dyDescent="0.25">
      <c r="A303" s="3" t="s">
        <v>21</v>
      </c>
      <c r="B303" s="3" t="s">
        <v>33</v>
      </c>
      <c r="C303" s="3" t="s">
        <v>23</v>
      </c>
      <c r="D303" s="3" t="s">
        <v>34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44713</v>
      </c>
      <c r="J303" s="4">
        <v>0</v>
      </c>
      <c r="K303" s="4">
        <v>0</v>
      </c>
      <c r="L303" s="4">
        <v>55.75</v>
      </c>
      <c r="M303" s="4">
        <v>55.75</v>
      </c>
      <c r="N303" s="4">
        <v>55.75</v>
      </c>
      <c r="O303" s="4">
        <v>55.75</v>
      </c>
      <c r="P303" s="4">
        <v>54</v>
      </c>
      <c r="Q303" s="3" t="s">
        <v>26</v>
      </c>
      <c r="R303" s="3">
        <v>0</v>
      </c>
      <c r="S303" s="3" t="s">
        <v>208</v>
      </c>
      <c r="T303" s="3" t="s">
        <v>334</v>
      </c>
      <c r="U303" s="3">
        <v>0</v>
      </c>
      <c r="V303" s="3">
        <v>50</v>
      </c>
      <c r="W303" s="3">
        <v>83</v>
      </c>
    </row>
    <row r="304" spans="1:23" ht="11.25" customHeight="1" x14ac:dyDescent="0.25">
      <c r="A304" s="3" t="s">
        <v>28</v>
      </c>
      <c r="B304" s="3" t="s">
        <v>33</v>
      </c>
      <c r="C304" s="3" t="s">
        <v>23</v>
      </c>
      <c r="D304" s="3" t="s">
        <v>34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40.058</v>
      </c>
      <c r="M304" s="4">
        <v>40.058</v>
      </c>
      <c r="N304" s="4">
        <v>40.058</v>
      </c>
      <c r="O304" s="4">
        <v>40.058</v>
      </c>
      <c r="P304" s="4">
        <v>13</v>
      </c>
      <c r="Q304" s="3" t="s">
        <v>26</v>
      </c>
      <c r="R304" s="3">
        <v>0</v>
      </c>
      <c r="S304" s="3" t="s">
        <v>208</v>
      </c>
      <c r="T304" s="3" t="s">
        <v>334</v>
      </c>
      <c r="U304" s="3">
        <v>0</v>
      </c>
      <c r="V304" s="3">
        <v>50</v>
      </c>
      <c r="W304" s="3">
        <v>83</v>
      </c>
    </row>
    <row r="305" spans="1:23" ht="11.25" customHeight="1" x14ac:dyDescent="0.25">
      <c r="A305" s="3" t="s">
        <v>21</v>
      </c>
      <c r="B305" s="3" t="s">
        <v>33</v>
      </c>
      <c r="C305" s="3" t="s">
        <v>23</v>
      </c>
      <c r="D305" s="3" t="s">
        <v>34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0</v>
      </c>
      <c r="K305" s="4">
        <v>0</v>
      </c>
      <c r="L305" s="4">
        <v>53.003</v>
      </c>
      <c r="M305" s="4">
        <v>53.003</v>
      </c>
      <c r="N305" s="4">
        <v>53.003</v>
      </c>
      <c r="O305" s="4">
        <v>53.003</v>
      </c>
      <c r="P305" s="4">
        <v>54</v>
      </c>
      <c r="Q305" s="3" t="s">
        <v>26</v>
      </c>
      <c r="R305" s="3">
        <v>0</v>
      </c>
      <c r="S305" s="3" t="s">
        <v>209</v>
      </c>
      <c r="T305" s="3" t="s">
        <v>335</v>
      </c>
      <c r="U305" s="3">
        <v>0</v>
      </c>
      <c r="V305" s="3">
        <v>50</v>
      </c>
      <c r="W305" s="3">
        <v>83</v>
      </c>
    </row>
    <row r="306" spans="1:23" ht="11.25" customHeight="1" x14ac:dyDescent="0.25">
      <c r="A306" s="3" t="s">
        <v>28</v>
      </c>
      <c r="B306" s="3" t="s">
        <v>33</v>
      </c>
      <c r="C306" s="3" t="s">
        <v>23</v>
      </c>
      <c r="D306" s="3" t="s">
        <v>34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44743</v>
      </c>
      <c r="J306" s="4">
        <v>0</v>
      </c>
      <c r="K306" s="4">
        <v>0</v>
      </c>
      <c r="L306" s="4">
        <v>42.128</v>
      </c>
      <c r="M306" s="4">
        <v>42.128</v>
      </c>
      <c r="N306" s="4">
        <v>42.128</v>
      </c>
      <c r="O306" s="4">
        <v>42.128</v>
      </c>
      <c r="P306" s="4">
        <v>12</v>
      </c>
      <c r="Q306" s="3" t="s">
        <v>26</v>
      </c>
      <c r="R306" s="3">
        <v>0</v>
      </c>
      <c r="S306" s="3" t="s">
        <v>209</v>
      </c>
      <c r="T306" s="3" t="s">
        <v>335</v>
      </c>
      <c r="U306" s="3">
        <v>0</v>
      </c>
      <c r="V306" s="3">
        <v>50</v>
      </c>
      <c r="W306" s="3">
        <v>83</v>
      </c>
    </row>
    <row r="307" spans="1:23" ht="11.25" customHeight="1" x14ac:dyDescent="0.25">
      <c r="A307" s="3" t="s">
        <v>21</v>
      </c>
      <c r="B307" s="3" t="s">
        <v>33</v>
      </c>
      <c r="C307" s="3" t="s">
        <v>23</v>
      </c>
      <c r="D307" s="3" t="s">
        <v>34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44774</v>
      </c>
      <c r="J307" s="4">
        <v>0</v>
      </c>
      <c r="K307" s="4">
        <v>0</v>
      </c>
      <c r="L307" s="4">
        <v>61.704999999999998</v>
      </c>
      <c r="M307" s="4">
        <v>61.704999999999998</v>
      </c>
      <c r="N307" s="4">
        <v>61.704999999999998</v>
      </c>
      <c r="O307" s="4">
        <v>61.704999999999998</v>
      </c>
      <c r="P307" s="4">
        <v>53</v>
      </c>
      <c r="Q307" s="3" t="s">
        <v>26</v>
      </c>
      <c r="R307" s="3">
        <v>0</v>
      </c>
      <c r="S307" s="3" t="s">
        <v>210</v>
      </c>
      <c r="T307" s="3" t="s">
        <v>336</v>
      </c>
      <c r="U307" s="3">
        <v>0</v>
      </c>
      <c r="V307" s="3">
        <v>50</v>
      </c>
      <c r="W307" s="3">
        <v>83</v>
      </c>
    </row>
    <row r="308" spans="1:23" ht="11.25" customHeight="1" x14ac:dyDescent="0.25">
      <c r="A308" s="3" t="s">
        <v>28</v>
      </c>
      <c r="B308" s="3" t="s">
        <v>33</v>
      </c>
      <c r="C308" s="3" t="s">
        <v>23</v>
      </c>
      <c r="D308" s="3" t="s">
        <v>34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44774</v>
      </c>
      <c r="J308" s="4">
        <v>0</v>
      </c>
      <c r="K308" s="4">
        <v>0</v>
      </c>
      <c r="L308" s="4">
        <v>44.357999999999997</v>
      </c>
      <c r="M308" s="4">
        <v>44.357999999999997</v>
      </c>
      <c r="N308" s="4">
        <v>44.357999999999997</v>
      </c>
      <c r="O308" s="4">
        <v>44.357999999999997</v>
      </c>
      <c r="P308" s="4">
        <v>14</v>
      </c>
      <c r="Q308" s="3" t="s">
        <v>26</v>
      </c>
      <c r="R308" s="3">
        <v>0</v>
      </c>
      <c r="S308" s="3" t="s">
        <v>210</v>
      </c>
      <c r="T308" s="3" t="s">
        <v>336</v>
      </c>
      <c r="U308" s="3">
        <v>0</v>
      </c>
      <c r="V308" s="3">
        <v>50</v>
      </c>
      <c r="W308" s="3">
        <v>83</v>
      </c>
    </row>
    <row r="309" spans="1:23" ht="11.25" customHeight="1" x14ac:dyDescent="0.25">
      <c r="A309" s="3" t="s">
        <v>21</v>
      </c>
      <c r="B309" s="3" t="s">
        <v>33</v>
      </c>
      <c r="C309" s="3" t="s">
        <v>23</v>
      </c>
      <c r="D309" s="3" t="s">
        <v>42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44440</v>
      </c>
      <c r="J309" s="4">
        <v>0</v>
      </c>
      <c r="K309" s="4">
        <v>0</v>
      </c>
      <c r="L309" s="4">
        <v>29.422999999999998</v>
      </c>
      <c r="M309" s="4">
        <v>29.422999999999998</v>
      </c>
      <c r="N309" s="4">
        <v>29.422999999999998</v>
      </c>
      <c r="O309" s="4">
        <v>29.422999999999998</v>
      </c>
      <c r="P309" s="4">
        <v>55</v>
      </c>
      <c r="Q309" s="3" t="s">
        <v>26</v>
      </c>
      <c r="R309" s="3">
        <v>0</v>
      </c>
      <c r="S309" s="3" t="s">
        <v>199</v>
      </c>
      <c r="T309" s="3" t="s">
        <v>325</v>
      </c>
      <c r="U309" s="3">
        <v>0</v>
      </c>
      <c r="V309" s="3">
        <v>50</v>
      </c>
      <c r="W309" s="3">
        <v>83</v>
      </c>
    </row>
    <row r="310" spans="1:23" ht="11.25" customHeight="1" x14ac:dyDescent="0.25">
      <c r="A310" s="3" t="s">
        <v>21</v>
      </c>
      <c r="B310" s="3" t="s">
        <v>33</v>
      </c>
      <c r="C310" s="3" t="s">
        <v>23</v>
      </c>
      <c r="D310" s="3" t="s">
        <v>42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44470</v>
      </c>
      <c r="J310" s="4">
        <v>0</v>
      </c>
      <c r="K310" s="4">
        <v>0</v>
      </c>
      <c r="L310" s="4">
        <v>25.593</v>
      </c>
      <c r="M310" s="4">
        <v>25.593</v>
      </c>
      <c r="N310" s="4">
        <v>25.593</v>
      </c>
      <c r="O310" s="4">
        <v>25.593</v>
      </c>
      <c r="P310" s="4">
        <v>56</v>
      </c>
      <c r="Q310" s="3" t="s">
        <v>26</v>
      </c>
      <c r="R310" s="3">
        <v>0</v>
      </c>
      <c r="S310" s="3" t="s">
        <v>200</v>
      </c>
      <c r="T310" s="3" t="s">
        <v>326</v>
      </c>
      <c r="U310" s="3">
        <v>0</v>
      </c>
      <c r="V310" s="3">
        <v>50</v>
      </c>
      <c r="W310" s="3">
        <v>83</v>
      </c>
    </row>
    <row r="311" spans="1:23" ht="11.25" customHeight="1" x14ac:dyDescent="0.25">
      <c r="A311" s="3" t="s">
        <v>21</v>
      </c>
      <c r="B311" s="3" t="s">
        <v>33</v>
      </c>
      <c r="C311" s="3" t="s">
        <v>23</v>
      </c>
      <c r="D311" s="3" t="s">
        <v>42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44501</v>
      </c>
      <c r="J311" s="4">
        <v>0</v>
      </c>
      <c r="K311" s="4">
        <v>0</v>
      </c>
      <c r="L311" s="4">
        <v>36.228000000000002</v>
      </c>
      <c r="M311" s="4">
        <v>36.228000000000002</v>
      </c>
      <c r="N311" s="4">
        <v>36.228000000000002</v>
      </c>
      <c r="O311" s="4">
        <v>36.228000000000002</v>
      </c>
      <c r="P311" s="4">
        <v>56</v>
      </c>
      <c r="Q311" s="3" t="s">
        <v>26</v>
      </c>
      <c r="R311" s="3">
        <v>0</v>
      </c>
      <c r="S311" s="3" t="s">
        <v>201</v>
      </c>
      <c r="T311" s="3" t="s">
        <v>327</v>
      </c>
      <c r="U311" s="3">
        <v>0</v>
      </c>
      <c r="V311" s="3">
        <v>50</v>
      </c>
      <c r="W311" s="3">
        <v>83</v>
      </c>
    </row>
    <row r="312" spans="1:23" ht="11.25" customHeight="1" x14ac:dyDescent="0.25">
      <c r="A312" s="3" t="s">
        <v>21</v>
      </c>
      <c r="B312" s="3" t="s">
        <v>33</v>
      </c>
      <c r="C312" s="3" t="s">
        <v>23</v>
      </c>
      <c r="D312" s="3" t="s">
        <v>42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44531</v>
      </c>
      <c r="J312" s="4">
        <v>0</v>
      </c>
      <c r="K312" s="4">
        <v>0</v>
      </c>
      <c r="L312" s="4">
        <v>40.069000000000003</v>
      </c>
      <c r="M312" s="4">
        <v>40.069000000000003</v>
      </c>
      <c r="N312" s="4">
        <v>40.069000000000003</v>
      </c>
      <c r="O312" s="4">
        <v>40.069000000000003</v>
      </c>
      <c r="P312" s="4">
        <v>55</v>
      </c>
      <c r="Q312" s="3" t="s">
        <v>26</v>
      </c>
      <c r="R312" s="3">
        <v>0</v>
      </c>
      <c r="S312" s="3" t="s">
        <v>202</v>
      </c>
      <c r="T312" s="3" t="s">
        <v>328</v>
      </c>
      <c r="U312" s="3">
        <v>0</v>
      </c>
      <c r="V312" s="3">
        <v>50</v>
      </c>
      <c r="W312" s="3">
        <v>83</v>
      </c>
    </row>
    <row r="313" spans="1:23" ht="11.25" customHeight="1" x14ac:dyDescent="0.25">
      <c r="A313" s="3" t="s">
        <v>21</v>
      </c>
      <c r="B313" s="3" t="s">
        <v>33</v>
      </c>
      <c r="C313" s="3" t="s">
        <v>23</v>
      </c>
      <c r="D313" s="3" t="s">
        <v>42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44562</v>
      </c>
      <c r="J313" s="4">
        <v>0</v>
      </c>
      <c r="K313" s="4">
        <v>0</v>
      </c>
      <c r="L313" s="4">
        <v>31.506</v>
      </c>
      <c r="M313" s="4">
        <v>31.506</v>
      </c>
      <c r="N313" s="4">
        <v>31.506</v>
      </c>
      <c r="O313" s="4">
        <v>31.506</v>
      </c>
      <c r="P313" s="4">
        <v>55</v>
      </c>
      <c r="Q313" s="3" t="s">
        <v>26</v>
      </c>
      <c r="R313" s="3">
        <v>0</v>
      </c>
      <c r="S313" s="3" t="s">
        <v>203</v>
      </c>
      <c r="T313" s="3" t="s">
        <v>329</v>
      </c>
      <c r="U313" s="3">
        <v>0</v>
      </c>
      <c r="V313" s="3">
        <v>50</v>
      </c>
      <c r="W313" s="3">
        <v>83</v>
      </c>
    </row>
    <row r="314" spans="1:23" ht="11.25" customHeight="1" x14ac:dyDescent="0.25">
      <c r="A314" s="3" t="s">
        <v>21</v>
      </c>
      <c r="B314" s="3" t="s">
        <v>33</v>
      </c>
      <c r="C314" s="3" t="s">
        <v>23</v>
      </c>
      <c r="D314" s="3" t="s">
        <v>42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44593</v>
      </c>
      <c r="J314" s="4">
        <v>0</v>
      </c>
      <c r="K314" s="4">
        <v>0</v>
      </c>
      <c r="L314" s="4">
        <v>51.444000000000003</v>
      </c>
      <c r="M314" s="4">
        <v>51.444000000000003</v>
      </c>
      <c r="N314" s="4">
        <v>51.444000000000003</v>
      </c>
      <c r="O314" s="4">
        <v>51.444000000000003</v>
      </c>
      <c r="P314" s="4">
        <v>56</v>
      </c>
      <c r="Q314" s="3" t="s">
        <v>26</v>
      </c>
      <c r="R314" s="3">
        <v>0</v>
      </c>
      <c r="S314" s="3" t="s">
        <v>204</v>
      </c>
      <c r="T314" s="3" t="s">
        <v>330</v>
      </c>
      <c r="U314" s="3">
        <v>0</v>
      </c>
      <c r="V314" s="3">
        <v>50</v>
      </c>
      <c r="W314" s="3">
        <v>83</v>
      </c>
    </row>
    <row r="315" spans="1:23" ht="11.25" customHeight="1" x14ac:dyDescent="0.25">
      <c r="A315" s="3" t="s">
        <v>21</v>
      </c>
      <c r="B315" s="3" t="s">
        <v>33</v>
      </c>
      <c r="C315" s="3" t="s">
        <v>23</v>
      </c>
      <c r="D315" s="3" t="s">
        <v>42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44621</v>
      </c>
      <c r="J315" s="4">
        <v>0</v>
      </c>
      <c r="K315" s="4">
        <v>0</v>
      </c>
      <c r="L315" s="4">
        <v>51.603000000000002</v>
      </c>
      <c r="M315" s="4">
        <v>51.603000000000002</v>
      </c>
      <c r="N315" s="4">
        <v>51.603000000000002</v>
      </c>
      <c r="O315" s="4">
        <v>51.603000000000002</v>
      </c>
      <c r="P315" s="4">
        <v>57</v>
      </c>
      <c r="Q315" s="3" t="s">
        <v>26</v>
      </c>
      <c r="R315" s="3">
        <v>0</v>
      </c>
      <c r="S315" s="3" t="s">
        <v>205</v>
      </c>
      <c r="T315" s="3" t="s">
        <v>331</v>
      </c>
      <c r="U315" s="3">
        <v>0</v>
      </c>
      <c r="V315" s="3">
        <v>50</v>
      </c>
      <c r="W315" s="3">
        <v>83</v>
      </c>
    </row>
    <row r="316" spans="1:23" ht="11.25" customHeight="1" x14ac:dyDescent="0.25">
      <c r="A316" s="3" t="s">
        <v>21</v>
      </c>
      <c r="B316" s="3" t="s">
        <v>33</v>
      </c>
      <c r="C316" s="3" t="s">
        <v>23</v>
      </c>
      <c r="D316" s="3" t="s">
        <v>42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37.845999999999997</v>
      </c>
      <c r="M316" s="4">
        <v>37.845999999999997</v>
      </c>
      <c r="N316" s="4">
        <v>37.845999999999997</v>
      </c>
      <c r="O316" s="4">
        <v>37.845999999999997</v>
      </c>
      <c r="P316" s="4">
        <v>56</v>
      </c>
      <c r="Q316" s="3" t="s">
        <v>26</v>
      </c>
      <c r="R316" s="3">
        <v>0</v>
      </c>
      <c r="S316" s="3" t="s">
        <v>206</v>
      </c>
      <c r="T316" s="3" t="s">
        <v>332</v>
      </c>
      <c r="U316" s="3">
        <v>0</v>
      </c>
      <c r="V316" s="3">
        <v>50</v>
      </c>
      <c r="W316" s="3">
        <v>83</v>
      </c>
    </row>
    <row r="317" spans="1:23" ht="11.25" customHeight="1" x14ac:dyDescent="0.25">
      <c r="A317" s="3" t="s">
        <v>21</v>
      </c>
      <c r="B317" s="3" t="s">
        <v>33</v>
      </c>
      <c r="C317" s="3" t="s">
        <v>23</v>
      </c>
      <c r="D317" s="3" t="s">
        <v>42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44682</v>
      </c>
      <c r="J317" s="4">
        <v>0</v>
      </c>
      <c r="K317" s="4">
        <v>0</v>
      </c>
      <c r="L317" s="4">
        <v>32.81</v>
      </c>
      <c r="M317" s="4">
        <v>32.81</v>
      </c>
      <c r="N317" s="4">
        <v>32.81</v>
      </c>
      <c r="O317" s="4">
        <v>32.81</v>
      </c>
      <c r="P317" s="4">
        <v>57</v>
      </c>
      <c r="Q317" s="3" t="s">
        <v>26</v>
      </c>
      <c r="R317" s="3">
        <v>0</v>
      </c>
      <c r="S317" s="3" t="s">
        <v>207</v>
      </c>
      <c r="T317" s="3" t="s">
        <v>333</v>
      </c>
      <c r="U317" s="3">
        <v>0</v>
      </c>
      <c r="V317" s="3">
        <v>50</v>
      </c>
      <c r="W317" s="3">
        <v>83</v>
      </c>
    </row>
    <row r="318" spans="1:23" ht="11.25" customHeight="1" x14ac:dyDescent="0.25">
      <c r="A318" s="3" t="s">
        <v>21</v>
      </c>
      <c r="B318" s="3" t="s">
        <v>33</v>
      </c>
      <c r="C318" s="3" t="s">
        <v>23</v>
      </c>
      <c r="D318" s="3" t="s">
        <v>42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44713</v>
      </c>
      <c r="J318" s="4">
        <v>0</v>
      </c>
      <c r="K318" s="4">
        <v>0</v>
      </c>
      <c r="L318" s="4">
        <v>32.688000000000002</v>
      </c>
      <c r="M318" s="4">
        <v>32.688000000000002</v>
      </c>
      <c r="N318" s="4">
        <v>32.688000000000002</v>
      </c>
      <c r="O318" s="4">
        <v>32.688000000000002</v>
      </c>
      <c r="P318" s="4">
        <v>57</v>
      </c>
      <c r="Q318" s="3" t="s">
        <v>26</v>
      </c>
      <c r="R318" s="3">
        <v>0</v>
      </c>
      <c r="S318" s="3" t="s">
        <v>208</v>
      </c>
      <c r="T318" s="3" t="s">
        <v>334</v>
      </c>
      <c r="U318" s="3">
        <v>0</v>
      </c>
      <c r="V318" s="3">
        <v>50</v>
      </c>
      <c r="W318" s="3">
        <v>83</v>
      </c>
    </row>
    <row r="319" spans="1:23" ht="11.25" customHeight="1" x14ac:dyDescent="0.25">
      <c r="A319" s="3" t="s">
        <v>21</v>
      </c>
      <c r="B319" s="3" t="s">
        <v>33</v>
      </c>
      <c r="C319" s="3" t="s">
        <v>23</v>
      </c>
      <c r="D319" s="3" t="s">
        <v>42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44743</v>
      </c>
      <c r="J319" s="4">
        <v>0</v>
      </c>
      <c r="K319" s="4">
        <v>0</v>
      </c>
      <c r="L319" s="4">
        <v>29.638999999999999</v>
      </c>
      <c r="M319" s="4">
        <v>29.638999999999999</v>
      </c>
      <c r="N319" s="4">
        <v>29.638999999999999</v>
      </c>
      <c r="O319" s="4">
        <v>29.638999999999999</v>
      </c>
      <c r="P319" s="4">
        <v>58</v>
      </c>
      <c r="Q319" s="3" t="s">
        <v>26</v>
      </c>
      <c r="R319" s="3">
        <v>0</v>
      </c>
      <c r="S319" s="3" t="s">
        <v>209</v>
      </c>
      <c r="T319" s="3" t="s">
        <v>335</v>
      </c>
      <c r="U319" s="3">
        <v>0</v>
      </c>
      <c r="V319" s="3">
        <v>50</v>
      </c>
      <c r="W319" s="3">
        <v>83</v>
      </c>
    </row>
    <row r="320" spans="1:23" ht="11.25" customHeight="1" x14ac:dyDescent="0.25">
      <c r="A320" s="3" t="s">
        <v>21</v>
      </c>
      <c r="B320" s="3" t="s">
        <v>33</v>
      </c>
      <c r="C320" s="3" t="s">
        <v>23</v>
      </c>
      <c r="D320" s="3" t="s">
        <v>42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44774</v>
      </c>
      <c r="J320" s="4">
        <v>0</v>
      </c>
      <c r="K320" s="4">
        <v>0</v>
      </c>
      <c r="L320" s="4">
        <v>30.934000000000001</v>
      </c>
      <c r="M320" s="4">
        <v>30.934000000000001</v>
      </c>
      <c r="N320" s="4">
        <v>30.934000000000001</v>
      </c>
      <c r="O320" s="4">
        <v>30.934000000000001</v>
      </c>
      <c r="P320" s="4">
        <v>58</v>
      </c>
      <c r="Q320" s="3" t="s">
        <v>26</v>
      </c>
      <c r="R320" s="3">
        <v>0</v>
      </c>
      <c r="S320" s="3" t="s">
        <v>210</v>
      </c>
      <c r="T320" s="3" t="s">
        <v>336</v>
      </c>
      <c r="U320" s="3">
        <v>0</v>
      </c>
      <c r="V320" s="3">
        <v>50</v>
      </c>
      <c r="W320" s="3">
        <v>83</v>
      </c>
    </row>
    <row r="321" spans="1:23" ht="11.25" customHeight="1" x14ac:dyDescent="0.25">
      <c r="A321" s="3" t="s">
        <v>21</v>
      </c>
      <c r="B321" s="3" t="s">
        <v>33</v>
      </c>
      <c r="C321" s="3" t="s">
        <v>23</v>
      </c>
      <c r="D321" s="3" t="s">
        <v>47</v>
      </c>
      <c r="E321" s="3" t="s">
        <v>48</v>
      </c>
      <c r="F321" s="3" t="s">
        <v>25</v>
      </c>
      <c r="G321" s="3" t="s">
        <v>25</v>
      </c>
      <c r="H321" s="3" t="s">
        <v>25</v>
      </c>
      <c r="I321" s="6">
        <v>44440</v>
      </c>
      <c r="J321" s="4">
        <v>0</v>
      </c>
      <c r="K321" s="4">
        <v>0</v>
      </c>
      <c r="L321" s="4">
        <v>7.6340000000000003</v>
      </c>
      <c r="M321" s="4">
        <v>7.1759599999999999</v>
      </c>
      <c r="N321" s="4">
        <v>7.6340000000000003</v>
      </c>
      <c r="O321" s="4">
        <v>7.1759599999999999</v>
      </c>
      <c r="P321" s="4">
        <v>13</v>
      </c>
      <c r="Q321" s="3" t="s">
        <v>26</v>
      </c>
      <c r="R321" s="3">
        <v>0</v>
      </c>
      <c r="S321" s="3" t="s">
        <v>199</v>
      </c>
      <c r="T321" s="3" t="s">
        <v>325</v>
      </c>
      <c r="U321" s="3">
        <v>0</v>
      </c>
      <c r="V321" s="3">
        <v>50</v>
      </c>
      <c r="W321" s="3">
        <v>83</v>
      </c>
    </row>
    <row r="322" spans="1:23" ht="11.25" customHeight="1" x14ac:dyDescent="0.25">
      <c r="A322" s="3" t="s">
        <v>21</v>
      </c>
      <c r="B322" s="3" t="s">
        <v>33</v>
      </c>
      <c r="C322" s="3" t="s">
        <v>23</v>
      </c>
      <c r="D322" s="3" t="s">
        <v>47</v>
      </c>
      <c r="E322" s="3" t="s">
        <v>48</v>
      </c>
      <c r="F322" s="3" t="s">
        <v>25</v>
      </c>
      <c r="G322" s="3" t="s">
        <v>25</v>
      </c>
      <c r="H322" s="3" t="s">
        <v>25</v>
      </c>
      <c r="I322" s="6">
        <v>44470</v>
      </c>
      <c r="J322" s="4">
        <v>0</v>
      </c>
      <c r="K322" s="4">
        <v>0</v>
      </c>
      <c r="L322" s="4">
        <v>7.2930000000000001</v>
      </c>
      <c r="M322" s="4">
        <v>6.8554199999999996</v>
      </c>
      <c r="N322" s="4">
        <v>7.2930000000000001</v>
      </c>
      <c r="O322" s="4">
        <v>6.8554199999999996</v>
      </c>
      <c r="P322" s="4">
        <v>12</v>
      </c>
      <c r="Q322" s="3" t="s">
        <v>26</v>
      </c>
      <c r="R322" s="3">
        <v>0</v>
      </c>
      <c r="S322" s="3" t="s">
        <v>200</v>
      </c>
      <c r="T322" s="3" t="s">
        <v>326</v>
      </c>
      <c r="U322" s="3">
        <v>0</v>
      </c>
      <c r="V322" s="3">
        <v>50</v>
      </c>
      <c r="W322" s="3">
        <v>83</v>
      </c>
    </row>
    <row r="323" spans="1:23" ht="11.25" customHeight="1" x14ac:dyDescent="0.25">
      <c r="A323" s="3" t="s">
        <v>21</v>
      </c>
      <c r="B323" s="3" t="s">
        <v>33</v>
      </c>
      <c r="C323" s="3" t="s">
        <v>23</v>
      </c>
      <c r="D323" s="3" t="s">
        <v>47</v>
      </c>
      <c r="E323" s="3" t="s">
        <v>48</v>
      </c>
      <c r="F323" s="3" t="s">
        <v>25</v>
      </c>
      <c r="G323" s="3" t="s">
        <v>25</v>
      </c>
      <c r="H323" s="3" t="s">
        <v>25</v>
      </c>
      <c r="I323" s="6">
        <v>44501</v>
      </c>
      <c r="J323" s="4">
        <v>0</v>
      </c>
      <c r="K323" s="4">
        <v>0</v>
      </c>
      <c r="L323" s="4">
        <v>6.923</v>
      </c>
      <c r="M323" s="4">
        <v>6.5076199999999993</v>
      </c>
      <c r="N323" s="4">
        <v>6.923</v>
      </c>
      <c r="O323" s="4">
        <v>6.5076199999999993</v>
      </c>
      <c r="P323" s="4">
        <v>12</v>
      </c>
      <c r="Q323" s="3" t="s">
        <v>26</v>
      </c>
      <c r="R323" s="3">
        <v>0</v>
      </c>
      <c r="S323" s="3" t="s">
        <v>201</v>
      </c>
      <c r="T323" s="3" t="s">
        <v>327</v>
      </c>
      <c r="U323" s="3">
        <v>0</v>
      </c>
      <c r="V323" s="3">
        <v>50</v>
      </c>
      <c r="W323" s="3">
        <v>83</v>
      </c>
    </row>
    <row r="324" spans="1:23" ht="11.25" customHeight="1" x14ac:dyDescent="0.25">
      <c r="A324" s="3" t="s">
        <v>21</v>
      </c>
      <c r="B324" s="3" t="s">
        <v>33</v>
      </c>
      <c r="C324" s="3" t="s">
        <v>23</v>
      </c>
      <c r="D324" s="3" t="s">
        <v>47</v>
      </c>
      <c r="E324" s="3" t="s">
        <v>48</v>
      </c>
      <c r="F324" s="3" t="s">
        <v>25</v>
      </c>
      <c r="G324" s="3" t="s">
        <v>25</v>
      </c>
      <c r="H324" s="3" t="s">
        <v>25</v>
      </c>
      <c r="I324" s="6">
        <v>44531</v>
      </c>
      <c r="J324" s="4">
        <v>0</v>
      </c>
      <c r="K324" s="4">
        <v>0</v>
      </c>
      <c r="L324" s="4">
        <v>7.5789999999999997</v>
      </c>
      <c r="M324" s="4">
        <v>7.1242599999999996</v>
      </c>
      <c r="N324" s="4">
        <v>7.5789999999999997</v>
      </c>
      <c r="O324" s="4">
        <v>7.1242599999999996</v>
      </c>
      <c r="P324" s="4">
        <v>12</v>
      </c>
      <c r="Q324" s="3" t="s">
        <v>26</v>
      </c>
      <c r="R324" s="3">
        <v>0</v>
      </c>
      <c r="S324" s="3" t="s">
        <v>202</v>
      </c>
      <c r="T324" s="3" t="s">
        <v>328</v>
      </c>
      <c r="U324" s="3">
        <v>0</v>
      </c>
      <c r="V324" s="3">
        <v>50</v>
      </c>
      <c r="W324" s="3">
        <v>83</v>
      </c>
    </row>
    <row r="325" spans="1:23" ht="11.25" customHeight="1" x14ac:dyDescent="0.25">
      <c r="A325" s="3" t="s">
        <v>21</v>
      </c>
      <c r="B325" s="3" t="s">
        <v>33</v>
      </c>
      <c r="C325" s="3" t="s">
        <v>23</v>
      </c>
      <c r="D325" s="3" t="s">
        <v>47</v>
      </c>
      <c r="E325" s="3" t="s">
        <v>48</v>
      </c>
      <c r="F325" s="3" t="s">
        <v>25</v>
      </c>
      <c r="G325" s="3" t="s">
        <v>25</v>
      </c>
      <c r="H325" s="3" t="s">
        <v>25</v>
      </c>
      <c r="I325" s="6">
        <v>44562</v>
      </c>
      <c r="J325" s="4">
        <v>0</v>
      </c>
      <c r="K325" s="4">
        <v>0</v>
      </c>
      <c r="L325" s="4">
        <v>12.791</v>
      </c>
      <c r="M325" s="4">
        <v>12.023539999999999</v>
      </c>
      <c r="N325" s="4">
        <v>12.791</v>
      </c>
      <c r="O325" s="4">
        <v>12.023539999999999</v>
      </c>
      <c r="P325" s="4">
        <v>12</v>
      </c>
      <c r="Q325" s="3" t="s">
        <v>26</v>
      </c>
      <c r="R325" s="3">
        <v>0</v>
      </c>
      <c r="S325" s="3" t="s">
        <v>203</v>
      </c>
      <c r="T325" s="3" t="s">
        <v>329</v>
      </c>
      <c r="U325" s="3">
        <v>0</v>
      </c>
      <c r="V325" s="3">
        <v>50</v>
      </c>
      <c r="W325" s="3">
        <v>83</v>
      </c>
    </row>
    <row r="326" spans="1:23" ht="11.25" customHeight="1" x14ac:dyDescent="0.25">
      <c r="A326" s="3" t="s">
        <v>21</v>
      </c>
      <c r="B326" s="3" t="s">
        <v>33</v>
      </c>
      <c r="C326" s="3" t="s">
        <v>23</v>
      </c>
      <c r="D326" s="3" t="s">
        <v>47</v>
      </c>
      <c r="E326" s="3" t="s">
        <v>48</v>
      </c>
      <c r="F326" s="3" t="s">
        <v>25</v>
      </c>
      <c r="G326" s="3" t="s">
        <v>25</v>
      </c>
      <c r="H326" s="3" t="s">
        <v>25</v>
      </c>
      <c r="I326" s="6">
        <v>44593</v>
      </c>
      <c r="J326" s="4">
        <v>0</v>
      </c>
      <c r="K326" s="4">
        <v>0</v>
      </c>
      <c r="L326" s="4">
        <v>8.4130000000000003</v>
      </c>
      <c r="M326" s="4">
        <v>7.90822</v>
      </c>
      <c r="N326" s="4">
        <v>8.4130000000000003</v>
      </c>
      <c r="O326" s="4">
        <v>7.90822</v>
      </c>
      <c r="P326" s="4">
        <v>12</v>
      </c>
      <c r="Q326" s="3" t="s">
        <v>26</v>
      </c>
      <c r="R326" s="3">
        <v>0</v>
      </c>
      <c r="S326" s="3" t="s">
        <v>204</v>
      </c>
      <c r="T326" s="3" t="s">
        <v>330</v>
      </c>
      <c r="U326" s="3">
        <v>0</v>
      </c>
      <c r="V326" s="3">
        <v>50</v>
      </c>
      <c r="W326" s="3">
        <v>83</v>
      </c>
    </row>
    <row r="327" spans="1:23" ht="11.25" customHeight="1" x14ac:dyDescent="0.25">
      <c r="A327" s="3" t="s">
        <v>21</v>
      </c>
      <c r="B327" s="3" t="s">
        <v>33</v>
      </c>
      <c r="C327" s="3" t="s">
        <v>23</v>
      </c>
      <c r="D327" s="3" t="s">
        <v>47</v>
      </c>
      <c r="E327" s="3" t="s">
        <v>48</v>
      </c>
      <c r="F327" s="3" t="s">
        <v>25</v>
      </c>
      <c r="G327" s="3" t="s">
        <v>25</v>
      </c>
      <c r="H327" s="3" t="s">
        <v>25</v>
      </c>
      <c r="I327" s="6">
        <v>44621</v>
      </c>
      <c r="J327" s="4">
        <v>0</v>
      </c>
      <c r="K327" s="4">
        <v>0</v>
      </c>
      <c r="L327" s="4">
        <v>6.742</v>
      </c>
      <c r="M327" s="4">
        <v>6.3374800000000002</v>
      </c>
      <c r="N327" s="4">
        <v>6.742</v>
      </c>
      <c r="O327" s="4">
        <v>6.3374800000000002</v>
      </c>
      <c r="P327" s="4">
        <v>12</v>
      </c>
      <c r="Q327" s="3" t="s">
        <v>26</v>
      </c>
      <c r="R327" s="3">
        <v>0</v>
      </c>
      <c r="S327" s="3" t="s">
        <v>205</v>
      </c>
      <c r="T327" s="3" t="s">
        <v>331</v>
      </c>
      <c r="U327" s="3">
        <v>0</v>
      </c>
      <c r="V327" s="3">
        <v>50</v>
      </c>
      <c r="W327" s="3">
        <v>83</v>
      </c>
    </row>
    <row r="328" spans="1:23" ht="11.25" customHeight="1" x14ac:dyDescent="0.25">
      <c r="A328" s="3" t="s">
        <v>21</v>
      </c>
      <c r="B328" s="3" t="s">
        <v>33</v>
      </c>
      <c r="C328" s="3" t="s">
        <v>23</v>
      </c>
      <c r="D328" s="3" t="s">
        <v>47</v>
      </c>
      <c r="E328" s="3" t="s">
        <v>48</v>
      </c>
      <c r="F328" s="3" t="s">
        <v>25</v>
      </c>
      <c r="G328" s="3" t="s">
        <v>25</v>
      </c>
      <c r="H328" s="3" t="s">
        <v>25</v>
      </c>
      <c r="I328" s="6">
        <v>44652</v>
      </c>
      <c r="J328" s="4">
        <v>0</v>
      </c>
      <c r="K328" s="4">
        <v>0</v>
      </c>
      <c r="L328" s="4">
        <v>6.8230000000000004</v>
      </c>
      <c r="M328" s="4">
        <v>6.4136199999999999</v>
      </c>
      <c r="N328" s="4">
        <v>6.8230000000000004</v>
      </c>
      <c r="O328" s="4">
        <v>6.4136199999999999</v>
      </c>
      <c r="P328" s="4">
        <v>12</v>
      </c>
      <c r="Q328" s="3" t="s">
        <v>26</v>
      </c>
      <c r="R328" s="3">
        <v>0</v>
      </c>
      <c r="S328" s="3" t="s">
        <v>206</v>
      </c>
      <c r="T328" s="3" t="s">
        <v>332</v>
      </c>
      <c r="U328" s="3">
        <v>0</v>
      </c>
      <c r="V328" s="3">
        <v>50</v>
      </c>
      <c r="W328" s="3">
        <v>83</v>
      </c>
    </row>
    <row r="329" spans="1:23" ht="11.25" customHeight="1" x14ac:dyDescent="0.25">
      <c r="A329" s="3" t="s">
        <v>21</v>
      </c>
      <c r="B329" s="3" t="s">
        <v>33</v>
      </c>
      <c r="C329" s="3" t="s">
        <v>23</v>
      </c>
      <c r="D329" s="3" t="s">
        <v>47</v>
      </c>
      <c r="E329" s="3" t="s">
        <v>48</v>
      </c>
      <c r="F329" s="3" t="s">
        <v>25</v>
      </c>
      <c r="G329" s="3" t="s">
        <v>25</v>
      </c>
      <c r="H329" s="3" t="s">
        <v>25</v>
      </c>
      <c r="I329" s="6">
        <v>44682</v>
      </c>
      <c r="J329" s="4">
        <v>0</v>
      </c>
      <c r="K329" s="4">
        <v>0</v>
      </c>
      <c r="L329" s="4">
        <v>11.523</v>
      </c>
      <c r="M329" s="4">
        <v>10.831619999999999</v>
      </c>
      <c r="N329" s="4">
        <v>11.523</v>
      </c>
      <c r="O329" s="4">
        <v>10.831619999999999</v>
      </c>
      <c r="P329" s="4">
        <v>12</v>
      </c>
      <c r="Q329" s="3" t="s">
        <v>26</v>
      </c>
      <c r="R329" s="3">
        <v>0</v>
      </c>
      <c r="S329" s="3" t="s">
        <v>207</v>
      </c>
      <c r="T329" s="3" t="s">
        <v>333</v>
      </c>
      <c r="U329" s="3">
        <v>0</v>
      </c>
      <c r="V329" s="3">
        <v>50</v>
      </c>
      <c r="W329" s="3">
        <v>83</v>
      </c>
    </row>
    <row r="330" spans="1:23" ht="11.25" customHeight="1" x14ac:dyDescent="0.25">
      <c r="A330" s="3" t="s">
        <v>21</v>
      </c>
      <c r="B330" s="3" t="s">
        <v>33</v>
      </c>
      <c r="C330" s="3" t="s">
        <v>23</v>
      </c>
      <c r="D330" s="3" t="s">
        <v>47</v>
      </c>
      <c r="E330" s="3" t="s">
        <v>48</v>
      </c>
      <c r="F330" s="3" t="s">
        <v>25</v>
      </c>
      <c r="G330" s="3" t="s">
        <v>25</v>
      </c>
      <c r="H330" s="3" t="s">
        <v>25</v>
      </c>
      <c r="I330" s="6">
        <v>44713</v>
      </c>
      <c r="J330" s="4">
        <v>0</v>
      </c>
      <c r="K330" s="4">
        <v>0</v>
      </c>
      <c r="L330" s="4">
        <v>5.4969999999999999</v>
      </c>
      <c r="M330" s="4">
        <v>5.1671800000000001</v>
      </c>
      <c r="N330" s="4">
        <v>5.4969999999999999</v>
      </c>
      <c r="O330" s="4">
        <v>5.1671800000000001</v>
      </c>
      <c r="P330" s="4">
        <v>14</v>
      </c>
      <c r="Q330" s="3" t="s">
        <v>26</v>
      </c>
      <c r="R330" s="3">
        <v>0</v>
      </c>
      <c r="S330" s="3" t="s">
        <v>208</v>
      </c>
      <c r="T330" s="3" t="s">
        <v>334</v>
      </c>
      <c r="U330" s="3">
        <v>0</v>
      </c>
      <c r="V330" s="3">
        <v>50</v>
      </c>
      <c r="W330" s="3">
        <v>83</v>
      </c>
    </row>
    <row r="331" spans="1:23" ht="11.25" customHeight="1" x14ac:dyDescent="0.25">
      <c r="A331" s="3" t="s">
        <v>21</v>
      </c>
      <c r="B331" s="3" t="s">
        <v>33</v>
      </c>
      <c r="C331" s="3" t="s">
        <v>23</v>
      </c>
      <c r="D331" s="3" t="s">
        <v>47</v>
      </c>
      <c r="E331" s="3" t="s">
        <v>48</v>
      </c>
      <c r="F331" s="3" t="s">
        <v>25</v>
      </c>
      <c r="G331" s="3" t="s">
        <v>25</v>
      </c>
      <c r="H331" s="3" t="s">
        <v>25</v>
      </c>
      <c r="I331" s="6">
        <v>44743</v>
      </c>
      <c r="J331" s="4">
        <v>0</v>
      </c>
      <c r="K331" s="4">
        <v>0</v>
      </c>
      <c r="L331" s="4">
        <v>6.97</v>
      </c>
      <c r="M331" s="4">
        <v>6.5518000000000001</v>
      </c>
      <c r="N331" s="4">
        <v>6.97</v>
      </c>
      <c r="O331" s="4">
        <v>6.5518000000000001</v>
      </c>
      <c r="P331" s="4">
        <v>12</v>
      </c>
      <c r="Q331" s="3" t="s">
        <v>26</v>
      </c>
      <c r="R331" s="3">
        <v>0</v>
      </c>
      <c r="S331" s="3" t="s">
        <v>209</v>
      </c>
      <c r="T331" s="3" t="s">
        <v>335</v>
      </c>
      <c r="U331" s="3">
        <v>0</v>
      </c>
      <c r="V331" s="3">
        <v>50</v>
      </c>
      <c r="W331" s="3">
        <v>83</v>
      </c>
    </row>
    <row r="332" spans="1:23" ht="11.25" customHeight="1" x14ac:dyDescent="0.25">
      <c r="A332" s="3" t="s">
        <v>21</v>
      </c>
      <c r="B332" s="3" t="s">
        <v>33</v>
      </c>
      <c r="C332" s="3" t="s">
        <v>23</v>
      </c>
      <c r="D332" s="3" t="s">
        <v>47</v>
      </c>
      <c r="E332" s="3" t="s">
        <v>48</v>
      </c>
      <c r="F332" s="3" t="s">
        <v>25</v>
      </c>
      <c r="G332" s="3" t="s">
        <v>25</v>
      </c>
      <c r="H332" s="3" t="s">
        <v>25</v>
      </c>
      <c r="I332" s="6">
        <v>44774</v>
      </c>
      <c r="J332" s="4">
        <v>0</v>
      </c>
      <c r="K332" s="4">
        <v>0</v>
      </c>
      <c r="L332" s="4">
        <v>10.010999999999999</v>
      </c>
      <c r="M332" s="4">
        <v>9.4103399999999997</v>
      </c>
      <c r="N332" s="4">
        <v>10.010999999999999</v>
      </c>
      <c r="O332" s="4">
        <v>9.4103399999999997</v>
      </c>
      <c r="P332" s="4">
        <v>12</v>
      </c>
      <c r="Q332" s="3" t="s">
        <v>26</v>
      </c>
      <c r="R332" s="3">
        <v>0</v>
      </c>
      <c r="S332" s="3" t="s">
        <v>210</v>
      </c>
      <c r="T332" s="3" t="s">
        <v>336</v>
      </c>
      <c r="U332" s="3">
        <v>0</v>
      </c>
      <c r="V332" s="3">
        <v>50</v>
      </c>
      <c r="W332" s="3">
        <v>83</v>
      </c>
    </row>
    <row r="333" spans="1:23" ht="11.25" customHeight="1" x14ac:dyDescent="0.25">
      <c r="A333" s="3" t="s">
        <v>21</v>
      </c>
      <c r="B333" s="3" t="s">
        <v>43</v>
      </c>
      <c r="C333" s="3" t="s">
        <v>23</v>
      </c>
      <c r="D333" s="3" t="s">
        <v>44</v>
      </c>
      <c r="E333" s="3" t="s">
        <v>45</v>
      </c>
      <c r="F333" s="3" t="s">
        <v>25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159.626</v>
      </c>
      <c r="M333" s="4">
        <v>159.626</v>
      </c>
      <c r="N333" s="4">
        <v>159.626</v>
      </c>
      <c r="O333" s="4">
        <v>159.626</v>
      </c>
      <c r="P333" s="4">
        <v>8</v>
      </c>
      <c r="Q333" s="3" t="s">
        <v>26</v>
      </c>
      <c r="R333" s="3">
        <v>0</v>
      </c>
      <c r="S333" s="3" t="s">
        <v>211</v>
      </c>
      <c r="T333" s="3" t="s">
        <v>337</v>
      </c>
      <c r="U333" s="3">
        <v>0</v>
      </c>
      <c r="V333" s="3">
        <v>33</v>
      </c>
      <c r="W333" s="3">
        <v>85</v>
      </c>
    </row>
    <row r="334" spans="1:23" ht="11.25" customHeight="1" x14ac:dyDescent="0.25">
      <c r="A334" s="3" t="s">
        <v>21</v>
      </c>
      <c r="B334" s="3" t="s">
        <v>43</v>
      </c>
      <c r="C334" s="3" t="s">
        <v>23</v>
      </c>
      <c r="D334" s="3" t="s">
        <v>44</v>
      </c>
      <c r="E334" s="3" t="s">
        <v>45</v>
      </c>
      <c r="F334" s="3" t="s">
        <v>25</v>
      </c>
      <c r="G334" s="3" t="s">
        <v>25</v>
      </c>
      <c r="H334" s="3" t="s">
        <v>25</v>
      </c>
      <c r="I334" s="6">
        <v>44470</v>
      </c>
      <c r="J334" s="4">
        <v>0</v>
      </c>
      <c r="K334" s="4">
        <v>0</v>
      </c>
      <c r="L334" s="4">
        <v>166.33199999999999</v>
      </c>
      <c r="M334" s="4">
        <v>166.33199999999999</v>
      </c>
      <c r="N334" s="4">
        <v>166.33199999999999</v>
      </c>
      <c r="O334" s="4">
        <v>166.33199999999999</v>
      </c>
      <c r="P334" s="4">
        <v>10</v>
      </c>
      <c r="Q334" s="3" t="s">
        <v>26</v>
      </c>
      <c r="R334" s="3">
        <v>0</v>
      </c>
      <c r="S334" s="3" t="s">
        <v>212</v>
      </c>
      <c r="T334" s="3" t="s">
        <v>338</v>
      </c>
      <c r="U334" s="3">
        <v>0</v>
      </c>
      <c r="V334" s="3">
        <v>33</v>
      </c>
      <c r="W334" s="3">
        <v>85</v>
      </c>
    </row>
    <row r="335" spans="1:23" ht="11.25" customHeight="1" x14ac:dyDescent="0.25">
      <c r="A335" s="3" t="s">
        <v>21</v>
      </c>
      <c r="B335" s="3" t="s">
        <v>43</v>
      </c>
      <c r="C335" s="3" t="s">
        <v>23</v>
      </c>
      <c r="D335" s="3" t="s">
        <v>44</v>
      </c>
      <c r="E335" s="3" t="s">
        <v>45</v>
      </c>
      <c r="F335" s="3" t="s">
        <v>25</v>
      </c>
      <c r="G335" s="3" t="s">
        <v>25</v>
      </c>
      <c r="H335" s="3" t="s">
        <v>25</v>
      </c>
      <c r="I335" s="6">
        <v>44501</v>
      </c>
      <c r="J335" s="4">
        <v>0</v>
      </c>
      <c r="K335" s="4">
        <v>0</v>
      </c>
      <c r="L335" s="4">
        <v>161.327</v>
      </c>
      <c r="M335" s="4">
        <v>161.327</v>
      </c>
      <c r="N335" s="4">
        <v>161.327</v>
      </c>
      <c r="O335" s="4">
        <v>161.327</v>
      </c>
      <c r="P335" s="4">
        <v>10</v>
      </c>
      <c r="Q335" s="3" t="s">
        <v>26</v>
      </c>
      <c r="R335" s="3">
        <v>0</v>
      </c>
      <c r="S335" s="3" t="s">
        <v>213</v>
      </c>
      <c r="T335" s="3" t="s">
        <v>339</v>
      </c>
      <c r="U335" s="3">
        <v>0</v>
      </c>
      <c r="V335" s="3">
        <v>33</v>
      </c>
      <c r="W335" s="3">
        <v>85</v>
      </c>
    </row>
    <row r="336" spans="1:23" ht="11.25" customHeight="1" x14ac:dyDescent="0.25">
      <c r="A336" s="3" t="s">
        <v>21</v>
      </c>
      <c r="B336" s="3" t="s">
        <v>43</v>
      </c>
      <c r="C336" s="3" t="s">
        <v>23</v>
      </c>
      <c r="D336" s="3" t="s">
        <v>44</v>
      </c>
      <c r="E336" s="3" t="s">
        <v>45</v>
      </c>
      <c r="F336" s="3" t="s">
        <v>25</v>
      </c>
      <c r="G336" s="3" t="s">
        <v>25</v>
      </c>
      <c r="H336" s="3" t="s">
        <v>25</v>
      </c>
      <c r="I336" s="6">
        <v>44531</v>
      </c>
      <c r="J336" s="4">
        <v>0</v>
      </c>
      <c r="K336" s="4">
        <v>0</v>
      </c>
      <c r="L336" s="4">
        <v>165.21700000000001</v>
      </c>
      <c r="M336" s="4">
        <v>165.21700000000001</v>
      </c>
      <c r="N336" s="4">
        <v>165.21700000000001</v>
      </c>
      <c r="O336" s="4">
        <v>165.21700000000001</v>
      </c>
      <c r="P336" s="4">
        <v>8</v>
      </c>
      <c r="Q336" s="3" t="s">
        <v>26</v>
      </c>
      <c r="R336" s="3">
        <v>0</v>
      </c>
      <c r="S336" s="3" t="s">
        <v>214</v>
      </c>
      <c r="T336" s="3" t="s">
        <v>340</v>
      </c>
      <c r="U336" s="3">
        <v>0</v>
      </c>
      <c r="V336" s="3">
        <v>33</v>
      </c>
      <c r="W336" s="3">
        <v>85</v>
      </c>
    </row>
    <row r="337" spans="1:23" ht="11.25" customHeight="1" x14ac:dyDescent="0.25">
      <c r="A337" s="3" t="s">
        <v>21</v>
      </c>
      <c r="B337" s="3" t="s">
        <v>43</v>
      </c>
      <c r="C337" s="3" t="s">
        <v>23</v>
      </c>
      <c r="D337" s="3" t="s">
        <v>44</v>
      </c>
      <c r="E337" s="3" t="s">
        <v>45</v>
      </c>
      <c r="F337" s="3" t="s">
        <v>25</v>
      </c>
      <c r="G337" s="3" t="s">
        <v>25</v>
      </c>
      <c r="H337" s="3" t="s">
        <v>25</v>
      </c>
      <c r="I337" s="6">
        <v>44562</v>
      </c>
      <c r="J337" s="4">
        <v>0</v>
      </c>
      <c r="K337" s="4">
        <v>0</v>
      </c>
      <c r="L337" s="4">
        <v>167.01499999999999</v>
      </c>
      <c r="M337" s="4">
        <v>167.01499999999999</v>
      </c>
      <c r="N337" s="4">
        <v>167.01499999999999</v>
      </c>
      <c r="O337" s="4">
        <v>167.01499999999999</v>
      </c>
      <c r="P337" s="4">
        <v>9</v>
      </c>
      <c r="Q337" s="3" t="s">
        <v>26</v>
      </c>
      <c r="R337" s="3">
        <v>0</v>
      </c>
      <c r="S337" s="3" t="s">
        <v>215</v>
      </c>
      <c r="T337" s="3" t="s">
        <v>341</v>
      </c>
      <c r="U337" s="3">
        <v>0</v>
      </c>
      <c r="V337" s="3">
        <v>33</v>
      </c>
      <c r="W337" s="3">
        <v>85</v>
      </c>
    </row>
    <row r="338" spans="1:23" ht="11.25" customHeight="1" x14ac:dyDescent="0.25">
      <c r="A338" s="3" t="s">
        <v>21</v>
      </c>
      <c r="B338" s="3" t="s">
        <v>43</v>
      </c>
      <c r="C338" s="3" t="s">
        <v>23</v>
      </c>
      <c r="D338" s="3" t="s">
        <v>44</v>
      </c>
      <c r="E338" s="3" t="s">
        <v>45</v>
      </c>
      <c r="F338" s="3" t="s">
        <v>25</v>
      </c>
      <c r="G338" s="3" t="s">
        <v>25</v>
      </c>
      <c r="H338" s="3" t="s">
        <v>25</v>
      </c>
      <c r="I338" s="6">
        <v>44593</v>
      </c>
      <c r="J338" s="4">
        <v>0</v>
      </c>
      <c r="K338" s="4">
        <v>0</v>
      </c>
      <c r="L338" s="4">
        <v>149.13200000000001</v>
      </c>
      <c r="M338" s="4">
        <v>149.13200000000001</v>
      </c>
      <c r="N338" s="4">
        <v>149.13200000000001</v>
      </c>
      <c r="O338" s="4">
        <v>149.13200000000001</v>
      </c>
      <c r="P338" s="4">
        <v>8</v>
      </c>
      <c r="Q338" s="3" t="s">
        <v>26</v>
      </c>
      <c r="R338" s="3">
        <v>0</v>
      </c>
      <c r="S338" s="3" t="s">
        <v>216</v>
      </c>
      <c r="T338" s="3" t="s">
        <v>342</v>
      </c>
      <c r="U338" s="3">
        <v>0</v>
      </c>
      <c r="V338" s="3">
        <v>33</v>
      </c>
      <c r="W338" s="3">
        <v>85</v>
      </c>
    </row>
    <row r="339" spans="1:23" ht="11.25" customHeight="1" x14ac:dyDescent="0.25">
      <c r="A339" s="3" t="s">
        <v>21</v>
      </c>
      <c r="B339" s="3" t="s">
        <v>43</v>
      </c>
      <c r="C339" s="3" t="s">
        <v>23</v>
      </c>
      <c r="D339" s="3" t="s">
        <v>44</v>
      </c>
      <c r="E339" s="3" t="s">
        <v>45</v>
      </c>
      <c r="F339" s="3" t="s">
        <v>25</v>
      </c>
      <c r="G339" s="3" t="s">
        <v>25</v>
      </c>
      <c r="H339" s="3" t="s">
        <v>25</v>
      </c>
      <c r="I339" s="6">
        <v>44621</v>
      </c>
      <c r="J339" s="4">
        <v>0</v>
      </c>
      <c r="K339" s="4">
        <v>0</v>
      </c>
      <c r="L339" s="4">
        <v>165.19800000000001</v>
      </c>
      <c r="M339" s="4">
        <v>165.19800000000001</v>
      </c>
      <c r="N339" s="4">
        <v>165.19800000000001</v>
      </c>
      <c r="O339" s="4">
        <v>165.19800000000001</v>
      </c>
      <c r="P339" s="4">
        <v>8</v>
      </c>
      <c r="Q339" s="3" t="s">
        <v>26</v>
      </c>
      <c r="R339" s="3">
        <v>0</v>
      </c>
      <c r="S339" s="3" t="s">
        <v>217</v>
      </c>
      <c r="T339" s="3" t="s">
        <v>343</v>
      </c>
      <c r="U339" s="3">
        <v>0</v>
      </c>
      <c r="V339" s="3">
        <v>33</v>
      </c>
      <c r="W339" s="3">
        <v>85</v>
      </c>
    </row>
    <row r="340" spans="1:23" ht="11.25" customHeight="1" x14ac:dyDescent="0.25">
      <c r="A340" s="3" t="s">
        <v>21</v>
      </c>
      <c r="B340" s="3" t="s">
        <v>43</v>
      </c>
      <c r="C340" s="3" t="s">
        <v>23</v>
      </c>
      <c r="D340" s="3" t="s">
        <v>44</v>
      </c>
      <c r="E340" s="3" t="s">
        <v>45</v>
      </c>
      <c r="F340" s="3" t="s">
        <v>25</v>
      </c>
      <c r="G340" s="3" t="s">
        <v>25</v>
      </c>
      <c r="H340" s="3" t="s">
        <v>25</v>
      </c>
      <c r="I340" s="6">
        <v>44652</v>
      </c>
      <c r="J340" s="4">
        <v>0</v>
      </c>
      <c r="K340" s="4">
        <v>0</v>
      </c>
      <c r="L340" s="4">
        <v>160.88499999999999</v>
      </c>
      <c r="M340" s="4">
        <v>160.88499999999999</v>
      </c>
      <c r="N340" s="4">
        <v>160.88499999999999</v>
      </c>
      <c r="O340" s="4">
        <v>160.88499999999999</v>
      </c>
      <c r="P340" s="4">
        <v>8</v>
      </c>
      <c r="Q340" s="3" t="s">
        <v>26</v>
      </c>
      <c r="R340" s="3">
        <v>0</v>
      </c>
      <c r="S340" s="3" t="s">
        <v>218</v>
      </c>
      <c r="T340" s="3" t="s">
        <v>344</v>
      </c>
      <c r="U340" s="3">
        <v>0</v>
      </c>
      <c r="V340" s="3">
        <v>33</v>
      </c>
      <c r="W340" s="3">
        <v>85</v>
      </c>
    </row>
    <row r="341" spans="1:23" ht="11.25" customHeight="1" x14ac:dyDescent="0.25">
      <c r="A341" s="3" t="s">
        <v>21</v>
      </c>
      <c r="B341" s="3" t="s">
        <v>43</v>
      </c>
      <c r="C341" s="3" t="s">
        <v>23</v>
      </c>
      <c r="D341" s="3" t="s">
        <v>44</v>
      </c>
      <c r="E341" s="3" t="s">
        <v>45</v>
      </c>
      <c r="F341" s="3" t="s">
        <v>25</v>
      </c>
      <c r="G341" s="3" t="s">
        <v>25</v>
      </c>
      <c r="H341" s="3" t="s">
        <v>25</v>
      </c>
      <c r="I341" s="6">
        <v>44682</v>
      </c>
      <c r="J341" s="4">
        <v>0</v>
      </c>
      <c r="K341" s="4">
        <v>0</v>
      </c>
      <c r="L341" s="4">
        <v>166.24799999999999</v>
      </c>
      <c r="M341" s="4">
        <v>166.24799999999999</v>
      </c>
      <c r="N341" s="4">
        <v>166.24799999999999</v>
      </c>
      <c r="O341" s="4">
        <v>166.24799999999999</v>
      </c>
      <c r="P341" s="4">
        <v>8</v>
      </c>
      <c r="Q341" s="3" t="s">
        <v>26</v>
      </c>
      <c r="R341" s="3">
        <v>0</v>
      </c>
      <c r="S341" s="3" t="s">
        <v>219</v>
      </c>
      <c r="T341" s="3" t="s">
        <v>345</v>
      </c>
      <c r="U341" s="3">
        <v>0</v>
      </c>
      <c r="V341" s="3">
        <v>33</v>
      </c>
      <c r="W341" s="3">
        <v>85</v>
      </c>
    </row>
    <row r="342" spans="1:23" ht="11.25" customHeight="1" x14ac:dyDescent="0.25">
      <c r="A342" s="3" t="s">
        <v>21</v>
      </c>
      <c r="B342" s="3" t="s">
        <v>43</v>
      </c>
      <c r="C342" s="3" t="s">
        <v>23</v>
      </c>
      <c r="D342" s="3" t="s">
        <v>44</v>
      </c>
      <c r="E342" s="3" t="s">
        <v>45</v>
      </c>
      <c r="F342" s="3" t="s">
        <v>25</v>
      </c>
      <c r="G342" s="3" t="s">
        <v>25</v>
      </c>
      <c r="H342" s="3" t="s">
        <v>25</v>
      </c>
      <c r="I342" s="6">
        <v>44713</v>
      </c>
      <c r="J342" s="4">
        <v>0</v>
      </c>
      <c r="K342" s="4">
        <v>0</v>
      </c>
      <c r="L342" s="4">
        <v>160.94499999999999</v>
      </c>
      <c r="M342" s="4">
        <v>160.94499999999999</v>
      </c>
      <c r="N342" s="4">
        <v>160.94499999999999</v>
      </c>
      <c r="O342" s="4">
        <v>160.94499999999999</v>
      </c>
      <c r="P342" s="4">
        <v>8</v>
      </c>
      <c r="Q342" s="3" t="s">
        <v>26</v>
      </c>
      <c r="R342" s="3">
        <v>0</v>
      </c>
      <c r="S342" s="3" t="s">
        <v>220</v>
      </c>
      <c r="T342" s="3" t="s">
        <v>346</v>
      </c>
      <c r="U342" s="3">
        <v>0</v>
      </c>
      <c r="V342" s="3">
        <v>33</v>
      </c>
      <c r="W342" s="3">
        <v>85</v>
      </c>
    </row>
    <row r="343" spans="1:23" ht="11.25" customHeight="1" x14ac:dyDescent="0.25">
      <c r="A343" s="3" t="s">
        <v>21</v>
      </c>
      <c r="B343" s="3" t="s">
        <v>43</v>
      </c>
      <c r="C343" s="3" t="s">
        <v>23</v>
      </c>
      <c r="D343" s="3" t="s">
        <v>44</v>
      </c>
      <c r="E343" s="3" t="s">
        <v>45</v>
      </c>
      <c r="F343" s="3" t="s">
        <v>25</v>
      </c>
      <c r="G343" s="3" t="s">
        <v>25</v>
      </c>
      <c r="H343" s="3" t="s">
        <v>25</v>
      </c>
      <c r="I343" s="6">
        <v>44743</v>
      </c>
      <c r="J343" s="4">
        <v>0</v>
      </c>
      <c r="K343" s="4">
        <v>0</v>
      </c>
      <c r="L343" s="4">
        <v>165.71299999999999</v>
      </c>
      <c r="M343" s="4">
        <v>165.71299999999999</v>
      </c>
      <c r="N343" s="4">
        <v>165.71299999999999</v>
      </c>
      <c r="O343" s="4">
        <v>165.71299999999999</v>
      </c>
      <c r="P343" s="4">
        <v>8</v>
      </c>
      <c r="Q343" s="3" t="s">
        <v>26</v>
      </c>
      <c r="R343" s="3">
        <v>0</v>
      </c>
      <c r="S343" s="3" t="s">
        <v>221</v>
      </c>
      <c r="T343" s="3" t="s">
        <v>347</v>
      </c>
      <c r="U343" s="3">
        <v>0</v>
      </c>
      <c r="V343" s="3">
        <v>33</v>
      </c>
      <c r="W343" s="3">
        <v>85</v>
      </c>
    </row>
    <row r="344" spans="1:23" ht="11.25" customHeight="1" x14ac:dyDescent="0.25">
      <c r="A344" s="3" t="s">
        <v>21</v>
      </c>
      <c r="B344" s="3" t="s">
        <v>43</v>
      </c>
      <c r="C344" s="3" t="s">
        <v>23</v>
      </c>
      <c r="D344" s="3" t="s">
        <v>44</v>
      </c>
      <c r="E344" s="3" t="s">
        <v>45</v>
      </c>
      <c r="F344" s="3" t="s">
        <v>25</v>
      </c>
      <c r="G344" s="3" t="s">
        <v>25</v>
      </c>
      <c r="H344" s="3" t="s">
        <v>25</v>
      </c>
      <c r="I344" s="6">
        <v>44774</v>
      </c>
      <c r="J344" s="4">
        <v>0</v>
      </c>
      <c r="K344" s="4">
        <v>0</v>
      </c>
      <c r="L344" s="4">
        <v>167.15199999999999</v>
      </c>
      <c r="M344" s="4">
        <v>167.15199999999999</v>
      </c>
      <c r="N344" s="4">
        <v>167.15199999999999</v>
      </c>
      <c r="O344" s="4">
        <v>167.15199999999999</v>
      </c>
      <c r="P344" s="4">
        <v>8</v>
      </c>
      <c r="Q344" s="3" t="s">
        <v>26</v>
      </c>
      <c r="R344" s="3">
        <v>0</v>
      </c>
      <c r="S344" s="3" t="s">
        <v>222</v>
      </c>
      <c r="T344" s="3" t="s">
        <v>348</v>
      </c>
      <c r="U344" s="3">
        <v>0</v>
      </c>
      <c r="V344" s="3">
        <v>33</v>
      </c>
      <c r="W344" s="3">
        <v>85</v>
      </c>
    </row>
    <row r="345" spans="1:23" ht="11.25" customHeight="1" x14ac:dyDescent="0.25">
      <c r="A345" s="3" t="s">
        <v>21</v>
      </c>
      <c r="B345" s="3" t="s">
        <v>43</v>
      </c>
      <c r="C345" s="3" t="s">
        <v>23</v>
      </c>
      <c r="D345" s="3" t="s">
        <v>44</v>
      </c>
      <c r="E345" s="3" t="s">
        <v>46</v>
      </c>
      <c r="F345" s="3" t="s">
        <v>25</v>
      </c>
      <c r="G345" s="3" t="s">
        <v>25</v>
      </c>
      <c r="H345" s="3" t="s">
        <v>25</v>
      </c>
      <c r="I345" s="6">
        <v>44440</v>
      </c>
      <c r="J345" s="4">
        <v>0</v>
      </c>
      <c r="K345" s="4">
        <v>0</v>
      </c>
      <c r="L345" s="4">
        <v>1.4530000000000001</v>
      </c>
      <c r="M345" s="4">
        <v>1.4530000000000001</v>
      </c>
      <c r="N345" s="4">
        <v>1.4530000000000001</v>
      </c>
      <c r="O345" s="4">
        <v>1.4530000000000001</v>
      </c>
      <c r="P345" s="4">
        <v>2</v>
      </c>
      <c r="Q345" s="3" t="s">
        <v>26</v>
      </c>
      <c r="R345" s="3">
        <v>0</v>
      </c>
      <c r="S345" s="3" t="s">
        <v>223</v>
      </c>
      <c r="T345" s="3" t="s">
        <v>349</v>
      </c>
      <c r="U345" s="3">
        <v>0</v>
      </c>
      <c r="V345" s="3">
        <v>40</v>
      </c>
      <c r="W345" s="3">
        <v>86</v>
      </c>
    </row>
  </sheetData>
  <sortState xmlns:xlrd2="http://schemas.microsoft.com/office/spreadsheetml/2017/richdata2" ref="A2:W345">
    <sortCondition ref="B2:B345"/>
    <sortCondition ref="C2:C345"/>
    <sortCondition ref="D2:D345"/>
    <sortCondition ref="E2:E345"/>
    <sortCondition ref="F2:F345"/>
    <sortCondition ref="H2:H345"/>
  </sortState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9E20-D59B-4306-878C-03B26DFD9B44}">
  <dimension ref="A1:H41"/>
  <sheetViews>
    <sheetView showGridLines="0" tabSelected="1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G1" s="7" t="s">
        <v>59</v>
      </c>
      <c r="H1" s="7">
        <f>COUNTA(A:A)</f>
        <v>41</v>
      </c>
    </row>
    <row r="2" spans="1:8" ht="11.25" customHeight="1" x14ac:dyDescent="0.25">
      <c r="A2" s="8" t="s">
        <v>237</v>
      </c>
      <c r="B2" s="8" t="s">
        <v>238</v>
      </c>
      <c r="C2" s="8" t="s">
        <v>239</v>
      </c>
      <c r="D2" s="8">
        <v>14</v>
      </c>
      <c r="E2" s="8" t="s">
        <v>240</v>
      </c>
    </row>
    <row r="3" spans="1:8" ht="11.25" customHeight="1" x14ac:dyDescent="0.25">
      <c r="A3" s="8" t="s">
        <v>237</v>
      </c>
      <c r="B3" s="8" t="s">
        <v>238</v>
      </c>
      <c r="C3" s="8" t="s">
        <v>239</v>
      </c>
      <c r="D3" s="8">
        <v>15</v>
      </c>
      <c r="E3" s="8" t="s">
        <v>240</v>
      </c>
    </row>
    <row r="4" spans="1:8" ht="11.25" customHeight="1" x14ac:dyDescent="0.25">
      <c r="A4" s="8" t="s">
        <v>237</v>
      </c>
      <c r="B4" s="8" t="s">
        <v>238</v>
      </c>
      <c r="C4" s="8" t="s">
        <v>239</v>
      </c>
      <c r="D4" s="8">
        <v>16</v>
      </c>
      <c r="E4" s="8" t="s">
        <v>240</v>
      </c>
    </row>
    <row r="5" spans="1:8" ht="11.25" customHeight="1" x14ac:dyDescent="0.25">
      <c r="A5" s="8" t="s">
        <v>237</v>
      </c>
      <c r="B5" s="8" t="s">
        <v>238</v>
      </c>
      <c r="C5" s="8" t="s">
        <v>239</v>
      </c>
      <c r="D5" s="8">
        <v>17</v>
      </c>
      <c r="E5" s="8" t="s">
        <v>240</v>
      </c>
    </row>
    <row r="6" spans="1:8" ht="11.25" customHeight="1" x14ac:dyDescent="0.25">
      <c r="A6" s="8" t="s">
        <v>237</v>
      </c>
      <c r="B6" s="8" t="s">
        <v>238</v>
      </c>
      <c r="C6" s="8" t="s">
        <v>239</v>
      </c>
      <c r="D6" s="8">
        <v>18</v>
      </c>
      <c r="E6" s="8" t="s">
        <v>240</v>
      </c>
    </row>
    <row r="7" spans="1:8" ht="11.25" customHeight="1" x14ac:dyDescent="0.25">
      <c r="A7" s="8" t="s">
        <v>237</v>
      </c>
      <c r="B7" s="8" t="s">
        <v>238</v>
      </c>
      <c r="C7" s="8" t="s">
        <v>239</v>
      </c>
      <c r="D7" s="8">
        <v>19</v>
      </c>
      <c r="E7" s="8" t="s">
        <v>240</v>
      </c>
    </row>
    <row r="8" spans="1:8" ht="11.25" customHeight="1" x14ac:dyDescent="0.25">
      <c r="A8" s="8" t="s">
        <v>237</v>
      </c>
      <c r="B8" s="8" t="s">
        <v>238</v>
      </c>
      <c r="C8" s="8" t="s">
        <v>239</v>
      </c>
      <c r="D8" s="8">
        <v>20</v>
      </c>
      <c r="E8" s="8" t="s">
        <v>240</v>
      </c>
    </row>
    <row r="9" spans="1:8" ht="11.25" customHeight="1" x14ac:dyDescent="0.25">
      <c r="A9" s="8" t="s">
        <v>237</v>
      </c>
      <c r="B9" s="8" t="s">
        <v>238</v>
      </c>
      <c r="C9" s="8" t="s">
        <v>239</v>
      </c>
      <c r="D9" s="8">
        <v>21</v>
      </c>
      <c r="E9" s="8" t="s">
        <v>240</v>
      </c>
    </row>
    <row r="10" spans="1:8" ht="11.25" customHeight="1" x14ac:dyDescent="0.25">
      <c r="A10" s="8" t="s">
        <v>237</v>
      </c>
      <c r="B10" s="8" t="s">
        <v>238</v>
      </c>
      <c r="C10" s="8" t="s">
        <v>239</v>
      </c>
      <c r="D10" s="8">
        <v>22</v>
      </c>
      <c r="E10" s="8" t="s">
        <v>240</v>
      </c>
    </row>
    <row r="11" spans="1:8" ht="11.25" customHeight="1" x14ac:dyDescent="0.25">
      <c r="A11" s="8" t="s">
        <v>237</v>
      </c>
      <c r="B11" s="8" t="s">
        <v>238</v>
      </c>
      <c r="C11" s="8" t="s">
        <v>239</v>
      </c>
      <c r="D11" s="8">
        <v>23</v>
      </c>
      <c r="E11" s="8" t="s">
        <v>240</v>
      </c>
    </row>
    <row r="12" spans="1:8" ht="11.25" customHeight="1" x14ac:dyDescent="0.25">
      <c r="A12" s="8" t="s">
        <v>237</v>
      </c>
      <c r="B12" s="8" t="s">
        <v>238</v>
      </c>
      <c r="C12" s="8" t="s">
        <v>239</v>
      </c>
      <c r="D12" s="8">
        <v>24</v>
      </c>
      <c r="E12" s="8" t="s">
        <v>240</v>
      </c>
    </row>
    <row r="13" spans="1:8" ht="11.25" customHeight="1" x14ac:dyDescent="0.25">
      <c r="A13" s="8" t="s">
        <v>237</v>
      </c>
      <c r="B13" s="8" t="s">
        <v>238</v>
      </c>
      <c r="C13" s="8" t="s">
        <v>239</v>
      </c>
      <c r="D13" s="8">
        <v>25</v>
      </c>
      <c r="E13" s="8" t="s">
        <v>240</v>
      </c>
    </row>
    <row r="14" spans="1:8" ht="11.25" customHeight="1" x14ac:dyDescent="0.25">
      <c r="A14" s="8" t="s">
        <v>237</v>
      </c>
      <c r="B14" s="8" t="s">
        <v>238</v>
      </c>
      <c r="C14" s="8" t="s">
        <v>239</v>
      </c>
      <c r="D14" s="8">
        <v>50</v>
      </c>
      <c r="E14" s="8" t="s">
        <v>240</v>
      </c>
    </row>
    <row r="15" spans="1:8" ht="11.25" customHeight="1" x14ac:dyDescent="0.25">
      <c r="A15" s="8" t="s">
        <v>237</v>
      </c>
      <c r="B15" s="8" t="s">
        <v>238</v>
      </c>
      <c r="C15" s="8" t="s">
        <v>239</v>
      </c>
      <c r="D15" s="8">
        <v>51</v>
      </c>
      <c r="E15" s="8" t="s">
        <v>240</v>
      </c>
    </row>
    <row r="16" spans="1:8" ht="11.25" customHeight="1" x14ac:dyDescent="0.25">
      <c r="A16" s="8" t="s">
        <v>237</v>
      </c>
      <c r="B16" s="8" t="s">
        <v>238</v>
      </c>
      <c r="C16" s="8" t="s">
        <v>239</v>
      </c>
      <c r="D16" s="8">
        <v>52</v>
      </c>
      <c r="E16" s="8" t="s">
        <v>240</v>
      </c>
    </row>
    <row r="17" spans="1:5" ht="11.25" customHeight="1" x14ac:dyDescent="0.25">
      <c r="A17" s="8" t="s">
        <v>237</v>
      </c>
      <c r="B17" s="8" t="s">
        <v>238</v>
      </c>
      <c r="C17" s="8" t="s">
        <v>239</v>
      </c>
      <c r="D17" s="8">
        <v>53</v>
      </c>
      <c r="E17" s="8" t="s">
        <v>240</v>
      </c>
    </row>
    <row r="18" spans="1:5" ht="11.25" customHeight="1" x14ac:dyDescent="0.25">
      <c r="A18" s="8" t="s">
        <v>237</v>
      </c>
      <c r="B18" s="8" t="s">
        <v>238</v>
      </c>
      <c r="C18" s="8" t="s">
        <v>239</v>
      </c>
      <c r="D18" s="8">
        <v>54</v>
      </c>
      <c r="E18" s="8" t="s">
        <v>240</v>
      </c>
    </row>
    <row r="19" spans="1:5" ht="11.25" customHeight="1" x14ac:dyDescent="0.25">
      <c r="A19" s="8" t="s">
        <v>237</v>
      </c>
      <c r="B19" s="8" t="s">
        <v>238</v>
      </c>
      <c r="C19" s="8" t="s">
        <v>239</v>
      </c>
      <c r="D19" s="8">
        <v>55</v>
      </c>
      <c r="E19" s="8" t="s">
        <v>240</v>
      </c>
    </row>
    <row r="20" spans="1:5" ht="11.25" customHeight="1" x14ac:dyDescent="0.25">
      <c r="A20" s="8" t="s">
        <v>237</v>
      </c>
      <c r="B20" s="8" t="s">
        <v>238</v>
      </c>
      <c r="C20" s="8" t="s">
        <v>239</v>
      </c>
      <c r="D20" s="8">
        <v>56</v>
      </c>
      <c r="E20" s="8" t="s">
        <v>240</v>
      </c>
    </row>
    <row r="21" spans="1:5" ht="11.25" customHeight="1" x14ac:dyDescent="0.25">
      <c r="A21" s="8" t="s">
        <v>237</v>
      </c>
      <c r="B21" s="8" t="s">
        <v>238</v>
      </c>
      <c r="C21" s="8" t="s">
        <v>239</v>
      </c>
      <c r="D21" s="8">
        <v>57</v>
      </c>
      <c r="E21" s="8" t="s">
        <v>240</v>
      </c>
    </row>
    <row r="22" spans="1:5" ht="11.25" customHeight="1" x14ac:dyDescent="0.25">
      <c r="A22" s="8" t="s">
        <v>237</v>
      </c>
      <c r="B22" s="8" t="s">
        <v>238</v>
      </c>
      <c r="C22" s="8" t="s">
        <v>239</v>
      </c>
      <c r="D22" s="8">
        <v>58</v>
      </c>
      <c r="E22" s="8" t="s">
        <v>240</v>
      </c>
    </row>
    <row r="23" spans="1:5" ht="11.25" customHeight="1" x14ac:dyDescent="0.25">
      <c r="A23" s="8" t="s">
        <v>237</v>
      </c>
      <c r="B23" s="8" t="s">
        <v>238</v>
      </c>
      <c r="C23" s="8" t="s">
        <v>239</v>
      </c>
      <c r="D23" s="8">
        <v>59</v>
      </c>
      <c r="E23" s="8" t="s">
        <v>240</v>
      </c>
    </row>
    <row r="24" spans="1:5" ht="11.25" customHeight="1" x14ac:dyDescent="0.25">
      <c r="A24" s="8" t="s">
        <v>237</v>
      </c>
      <c r="B24" s="8" t="s">
        <v>238</v>
      </c>
      <c r="C24" s="8" t="s">
        <v>239</v>
      </c>
      <c r="D24" s="8">
        <v>60</v>
      </c>
      <c r="E24" s="8" t="s">
        <v>240</v>
      </c>
    </row>
    <row r="25" spans="1:5" ht="11.25" customHeight="1" x14ac:dyDescent="0.25">
      <c r="A25" s="8" t="s">
        <v>237</v>
      </c>
      <c r="B25" s="8" t="s">
        <v>238</v>
      </c>
      <c r="C25" s="8" t="s">
        <v>239</v>
      </c>
      <c r="D25" s="8">
        <v>61</v>
      </c>
      <c r="E25" s="8" t="s">
        <v>240</v>
      </c>
    </row>
    <row r="26" spans="1:5" ht="11.25" customHeight="1" x14ac:dyDescent="0.25">
      <c r="A26" s="8" t="s">
        <v>237</v>
      </c>
      <c r="B26" s="8" t="s">
        <v>238</v>
      </c>
      <c r="C26" s="8" t="s">
        <v>239</v>
      </c>
      <c r="D26" s="8">
        <v>86</v>
      </c>
      <c r="E26" s="8" t="s">
        <v>240</v>
      </c>
    </row>
    <row r="27" spans="1:5" ht="11.25" customHeight="1" x14ac:dyDescent="0.25">
      <c r="A27" s="8" t="s">
        <v>237</v>
      </c>
      <c r="B27" s="8" t="s">
        <v>238</v>
      </c>
      <c r="C27" s="8" t="s">
        <v>239</v>
      </c>
      <c r="D27" s="8">
        <v>87</v>
      </c>
      <c r="E27" s="8" t="s">
        <v>240</v>
      </c>
    </row>
    <row r="28" spans="1:5" ht="11.25" customHeight="1" x14ac:dyDescent="0.25">
      <c r="A28" s="8" t="s">
        <v>237</v>
      </c>
      <c r="B28" s="8" t="s">
        <v>238</v>
      </c>
      <c r="C28" s="8" t="s">
        <v>239</v>
      </c>
      <c r="D28" s="8">
        <v>88</v>
      </c>
      <c r="E28" s="8" t="s">
        <v>240</v>
      </c>
    </row>
    <row r="29" spans="1:5" ht="11.25" customHeight="1" x14ac:dyDescent="0.25">
      <c r="A29" s="8" t="s">
        <v>237</v>
      </c>
      <c r="B29" s="8" t="s">
        <v>238</v>
      </c>
      <c r="C29" s="8" t="s">
        <v>239</v>
      </c>
      <c r="D29" s="8">
        <v>89</v>
      </c>
      <c r="E29" s="8" t="s">
        <v>240</v>
      </c>
    </row>
    <row r="30" spans="1:5" ht="11.25" customHeight="1" x14ac:dyDescent="0.25">
      <c r="A30" s="8" t="s">
        <v>237</v>
      </c>
      <c r="B30" s="8" t="s">
        <v>238</v>
      </c>
      <c r="C30" s="8" t="s">
        <v>239</v>
      </c>
      <c r="D30" s="8">
        <v>90</v>
      </c>
      <c r="E30" s="8" t="s">
        <v>240</v>
      </c>
    </row>
    <row r="31" spans="1:5" ht="11.25" customHeight="1" x14ac:dyDescent="0.25">
      <c r="A31" s="8" t="s">
        <v>237</v>
      </c>
      <c r="B31" s="8" t="s">
        <v>238</v>
      </c>
      <c r="C31" s="8" t="s">
        <v>239</v>
      </c>
      <c r="D31" s="8">
        <v>91</v>
      </c>
      <c r="E31" s="8" t="s">
        <v>240</v>
      </c>
    </row>
    <row r="32" spans="1:5" ht="11.25" customHeight="1" x14ac:dyDescent="0.25">
      <c r="A32" s="8" t="s">
        <v>237</v>
      </c>
      <c r="B32" s="8" t="s">
        <v>238</v>
      </c>
      <c r="C32" s="8" t="s">
        <v>239</v>
      </c>
      <c r="D32" s="8">
        <v>92</v>
      </c>
      <c r="E32" s="8" t="s">
        <v>240</v>
      </c>
    </row>
    <row r="33" spans="1:5" ht="11.25" customHeight="1" x14ac:dyDescent="0.25">
      <c r="A33" s="8" t="s">
        <v>237</v>
      </c>
      <c r="B33" s="8" t="s">
        <v>238</v>
      </c>
      <c r="C33" s="8" t="s">
        <v>239</v>
      </c>
      <c r="D33" s="8">
        <v>93</v>
      </c>
      <c r="E33" s="8" t="s">
        <v>240</v>
      </c>
    </row>
    <row r="34" spans="1:5" ht="11.25" customHeight="1" x14ac:dyDescent="0.25">
      <c r="A34" s="8" t="s">
        <v>237</v>
      </c>
      <c r="B34" s="8" t="s">
        <v>238</v>
      </c>
      <c r="C34" s="8" t="s">
        <v>239</v>
      </c>
      <c r="D34" s="8">
        <v>94</v>
      </c>
      <c r="E34" s="8" t="s">
        <v>240</v>
      </c>
    </row>
    <row r="35" spans="1:5" ht="11.25" customHeight="1" x14ac:dyDescent="0.25">
      <c r="A35" s="8" t="s">
        <v>237</v>
      </c>
      <c r="B35" s="8" t="s">
        <v>238</v>
      </c>
      <c r="C35" s="8" t="s">
        <v>239</v>
      </c>
      <c r="D35" s="8">
        <v>95</v>
      </c>
      <c r="E35" s="8" t="s">
        <v>240</v>
      </c>
    </row>
    <row r="36" spans="1:5" ht="11.25" customHeight="1" x14ac:dyDescent="0.25">
      <c r="A36" s="8" t="s">
        <v>237</v>
      </c>
      <c r="B36" s="8" t="s">
        <v>238</v>
      </c>
      <c r="C36" s="8" t="s">
        <v>239</v>
      </c>
      <c r="D36" s="8">
        <v>96</v>
      </c>
      <c r="E36" s="8" t="s">
        <v>240</v>
      </c>
    </row>
    <row r="37" spans="1:5" ht="11.25" customHeight="1" x14ac:dyDescent="0.25">
      <c r="A37" s="8" t="s">
        <v>237</v>
      </c>
      <c r="B37" s="8" t="s">
        <v>238</v>
      </c>
      <c r="C37" s="8" t="s">
        <v>239</v>
      </c>
      <c r="D37" s="8">
        <v>97</v>
      </c>
      <c r="E37" s="8" t="s">
        <v>240</v>
      </c>
    </row>
    <row r="38" spans="1:5" ht="11.25" customHeight="1" x14ac:dyDescent="0.25">
      <c r="A38" s="8" t="s">
        <v>237</v>
      </c>
      <c r="C38" s="8" t="s">
        <v>439</v>
      </c>
      <c r="D38" s="8">
        <v>40</v>
      </c>
      <c r="E38" s="8" t="s">
        <v>9</v>
      </c>
    </row>
    <row r="39" spans="1:5" ht="11.25" customHeight="1" x14ac:dyDescent="0.25">
      <c r="A39" s="8" t="s">
        <v>237</v>
      </c>
      <c r="C39" s="8" t="s">
        <v>439</v>
      </c>
      <c r="D39" s="8">
        <v>40</v>
      </c>
      <c r="E39" s="8" t="s">
        <v>9</v>
      </c>
    </row>
    <row r="40" spans="1:5" ht="11.25" customHeight="1" x14ac:dyDescent="0.25">
      <c r="A40" s="8" t="s">
        <v>237</v>
      </c>
      <c r="C40" s="8" t="s">
        <v>439</v>
      </c>
      <c r="D40" s="8">
        <v>40</v>
      </c>
      <c r="E40" s="8" t="s">
        <v>9</v>
      </c>
    </row>
    <row r="41" spans="1:5" ht="11.25" customHeight="1" x14ac:dyDescent="0.25">
      <c r="A41" s="8" t="s">
        <v>237</v>
      </c>
      <c r="C41" s="8" t="s">
        <v>439</v>
      </c>
      <c r="D41" s="8">
        <v>40</v>
      </c>
      <c r="E41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884C-8974-4D07-AA23-A208A23DE7ED}">
  <dimension ref="A1:AX88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0" t="s">
        <v>500</v>
      </c>
      <c r="B1" s="30" t="s">
        <v>490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491</v>
      </c>
      <c r="K1" s="30" t="s">
        <v>492</v>
      </c>
      <c r="L1" s="30" t="s">
        <v>493</v>
      </c>
      <c r="M1" s="30" t="s">
        <v>494</v>
      </c>
      <c r="N1" s="30" t="s">
        <v>495</v>
      </c>
      <c r="O1" s="30" t="s">
        <v>371</v>
      </c>
      <c r="P1" s="30" t="s">
        <v>357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1">
        <v>1</v>
      </c>
      <c r="B2" s="31" t="s">
        <v>351</v>
      </c>
      <c r="C2" s="31" t="s">
        <v>35</v>
      </c>
      <c r="D2" s="31" t="s">
        <v>73</v>
      </c>
      <c r="E2" s="31" t="s">
        <v>25</v>
      </c>
      <c r="F2" s="31" t="s">
        <v>25</v>
      </c>
      <c r="G2" s="31" t="s">
        <v>25</v>
      </c>
      <c r="H2" s="31" t="s">
        <v>25</v>
      </c>
      <c r="I2" s="31" t="s">
        <v>25</v>
      </c>
      <c r="J2" s="31" t="s">
        <v>496</v>
      </c>
      <c r="K2" s="31" t="s">
        <v>497</v>
      </c>
      <c r="L2" s="31" t="s">
        <v>70</v>
      </c>
      <c r="M2" s="31">
        <v>2021</v>
      </c>
      <c r="N2" s="31">
        <v>0</v>
      </c>
      <c r="O2" s="31">
        <v>67.52</v>
      </c>
      <c r="P2" s="31">
        <v>51.191471599455397</v>
      </c>
    </row>
    <row r="3" spans="1:50" ht="11.25" customHeight="1" x14ac:dyDescent="0.25">
      <c r="A3" s="31">
        <v>2</v>
      </c>
      <c r="B3" s="31" t="s">
        <v>351</v>
      </c>
      <c r="C3" s="31" t="s">
        <v>22</v>
      </c>
      <c r="D3" s="31" t="s">
        <v>85</v>
      </c>
      <c r="E3" s="31" t="s">
        <v>24</v>
      </c>
      <c r="F3" s="31" t="s">
        <v>24</v>
      </c>
      <c r="G3" s="31" t="s">
        <v>25</v>
      </c>
      <c r="H3" s="31" t="s">
        <v>25</v>
      </c>
      <c r="I3" s="31" t="s">
        <v>498</v>
      </c>
      <c r="J3" s="31" t="s">
        <v>496</v>
      </c>
      <c r="K3" s="31" t="s">
        <v>497</v>
      </c>
      <c r="L3" s="31" t="s">
        <v>70</v>
      </c>
      <c r="M3" s="31">
        <v>2021</v>
      </c>
      <c r="N3" s="31">
        <v>0</v>
      </c>
      <c r="O3" s="31">
        <v>717.74</v>
      </c>
      <c r="P3" s="31">
        <v>58.840771953397002</v>
      </c>
    </row>
    <row r="4" spans="1:50" ht="11.25" customHeight="1" x14ac:dyDescent="0.25">
      <c r="A4" s="31">
        <v>3</v>
      </c>
      <c r="B4" s="31" t="s">
        <v>351</v>
      </c>
      <c r="C4" s="31" t="s">
        <v>80</v>
      </c>
      <c r="D4" s="31" t="s">
        <v>79</v>
      </c>
      <c r="E4" s="31" t="s">
        <v>25</v>
      </c>
      <c r="F4" s="31" t="s">
        <v>25</v>
      </c>
      <c r="G4" s="31" t="s">
        <v>81</v>
      </c>
      <c r="H4" s="31" t="s">
        <v>25</v>
      </c>
      <c r="I4" s="31" t="s">
        <v>25</v>
      </c>
      <c r="J4" s="31" t="s">
        <v>499</v>
      </c>
      <c r="K4" s="31" t="s">
        <v>497</v>
      </c>
      <c r="L4" s="31" t="s">
        <v>74</v>
      </c>
      <c r="M4" s="31">
        <v>2021</v>
      </c>
      <c r="N4" s="31">
        <v>0</v>
      </c>
      <c r="O4" s="31">
        <v>8.8800000000000008</v>
      </c>
      <c r="P4" s="31">
        <v>0</v>
      </c>
    </row>
    <row r="5" spans="1:50" ht="11.25" customHeight="1" x14ac:dyDescent="0.25">
      <c r="A5" s="31">
        <v>4</v>
      </c>
      <c r="B5" s="31" t="s">
        <v>351</v>
      </c>
      <c r="C5" s="31" t="s">
        <v>22</v>
      </c>
      <c r="D5" s="31" t="s">
        <v>87</v>
      </c>
      <c r="E5" s="31" t="s">
        <v>24</v>
      </c>
      <c r="F5" s="31" t="s">
        <v>31</v>
      </c>
      <c r="G5" s="31" t="s">
        <v>25</v>
      </c>
      <c r="H5" s="31" t="s">
        <v>25</v>
      </c>
      <c r="I5" s="31" t="s">
        <v>25</v>
      </c>
      <c r="J5" s="31" t="s">
        <v>496</v>
      </c>
      <c r="K5" s="31" t="s">
        <v>497</v>
      </c>
      <c r="L5" s="31" t="s">
        <v>70</v>
      </c>
      <c r="M5" s="31">
        <v>2021</v>
      </c>
      <c r="N5" s="31">
        <v>0</v>
      </c>
      <c r="O5" s="31">
        <v>367.27</v>
      </c>
      <c r="P5" s="31">
        <v>0</v>
      </c>
    </row>
    <row r="6" spans="1:50" ht="11.25" customHeight="1" x14ac:dyDescent="0.25">
      <c r="A6" s="31">
        <v>5</v>
      </c>
      <c r="B6" s="31" t="s">
        <v>351</v>
      </c>
      <c r="C6" s="31" t="s">
        <v>35</v>
      </c>
      <c r="D6" s="31" t="s">
        <v>23</v>
      </c>
      <c r="E6" s="31" t="s">
        <v>25</v>
      </c>
      <c r="F6" s="31" t="s">
        <v>25</v>
      </c>
      <c r="G6" s="31" t="s">
        <v>25</v>
      </c>
      <c r="H6" s="31" t="s">
        <v>25</v>
      </c>
      <c r="I6" s="31" t="s">
        <v>25</v>
      </c>
      <c r="J6" s="31" t="s">
        <v>496</v>
      </c>
      <c r="K6" s="31" t="s">
        <v>497</v>
      </c>
      <c r="L6" s="31" t="s">
        <v>70</v>
      </c>
      <c r="M6" s="31">
        <v>2021</v>
      </c>
      <c r="N6" s="31">
        <v>0</v>
      </c>
      <c r="O6" s="31">
        <v>61.05</v>
      </c>
      <c r="P6" s="31">
        <v>51.191471599455397</v>
      </c>
    </row>
    <row r="7" spans="1:50" ht="11.25" customHeight="1" x14ac:dyDescent="0.25">
      <c r="A7" s="31">
        <v>6</v>
      </c>
      <c r="B7" s="31" t="s">
        <v>351</v>
      </c>
      <c r="C7" s="31" t="s">
        <v>22</v>
      </c>
      <c r="D7" s="31" t="s">
        <v>87</v>
      </c>
      <c r="E7" s="31" t="s">
        <v>24</v>
      </c>
      <c r="F7" s="31" t="s">
        <v>30</v>
      </c>
      <c r="G7" s="31" t="s">
        <v>25</v>
      </c>
      <c r="H7" s="31" t="s">
        <v>25</v>
      </c>
      <c r="I7" s="31" t="s">
        <v>25</v>
      </c>
      <c r="J7" s="31" t="s">
        <v>496</v>
      </c>
      <c r="K7" s="31" t="s">
        <v>497</v>
      </c>
      <c r="L7" s="31" t="s">
        <v>70</v>
      </c>
      <c r="M7" s="31">
        <v>2021</v>
      </c>
      <c r="N7" s="31">
        <v>0</v>
      </c>
      <c r="O7" s="31">
        <v>244.85</v>
      </c>
      <c r="P7" s="31">
        <v>0</v>
      </c>
    </row>
    <row r="8" spans="1:50" ht="11.25" customHeight="1" x14ac:dyDescent="0.25">
      <c r="A8" s="31">
        <v>7</v>
      </c>
      <c r="B8" s="31" t="s">
        <v>351</v>
      </c>
      <c r="C8" s="31" t="s">
        <v>35</v>
      </c>
      <c r="D8" s="31" t="s">
        <v>36</v>
      </c>
      <c r="E8" s="31" t="s">
        <v>25</v>
      </c>
      <c r="F8" s="31" t="s">
        <v>25</v>
      </c>
      <c r="G8" s="31" t="s">
        <v>25</v>
      </c>
      <c r="H8" s="31" t="s">
        <v>25</v>
      </c>
      <c r="I8" s="31" t="s">
        <v>25</v>
      </c>
      <c r="J8" s="31" t="s">
        <v>499</v>
      </c>
      <c r="K8" s="31" t="s">
        <v>497</v>
      </c>
      <c r="L8" s="31" t="s">
        <v>74</v>
      </c>
      <c r="M8" s="31">
        <v>2021</v>
      </c>
      <c r="N8" s="31">
        <v>0</v>
      </c>
      <c r="O8" s="31">
        <v>32.22</v>
      </c>
      <c r="P8" s="31">
        <v>0</v>
      </c>
    </row>
    <row r="9" spans="1:50" ht="11.25" customHeight="1" x14ac:dyDescent="0.25">
      <c r="A9" s="31">
        <v>8</v>
      </c>
      <c r="B9" s="31" t="s">
        <v>351</v>
      </c>
      <c r="C9" s="31" t="s">
        <v>22</v>
      </c>
      <c r="D9" s="31" t="s">
        <v>23</v>
      </c>
      <c r="E9" s="31" t="s">
        <v>24</v>
      </c>
      <c r="F9" s="31" t="s">
        <v>29</v>
      </c>
      <c r="G9" s="31" t="s">
        <v>25</v>
      </c>
      <c r="H9" s="31" t="s">
        <v>25</v>
      </c>
      <c r="I9" s="31" t="s">
        <v>25</v>
      </c>
      <c r="J9" s="31" t="s">
        <v>496</v>
      </c>
      <c r="K9" s="31" t="s">
        <v>497</v>
      </c>
      <c r="L9" s="31" t="s">
        <v>70</v>
      </c>
      <c r="M9" s="31">
        <v>2021</v>
      </c>
      <c r="N9" s="31">
        <v>0</v>
      </c>
      <c r="O9" s="31">
        <v>142.83000000000001</v>
      </c>
      <c r="P9" s="31">
        <v>0</v>
      </c>
    </row>
    <row r="10" spans="1:50" ht="11.25" customHeight="1" x14ac:dyDescent="0.25">
      <c r="A10" s="31">
        <v>9</v>
      </c>
      <c r="B10" s="31" t="s">
        <v>351</v>
      </c>
      <c r="C10" s="31" t="s">
        <v>35</v>
      </c>
      <c r="D10" s="31" t="s">
        <v>73</v>
      </c>
      <c r="E10" s="31" t="s">
        <v>25</v>
      </c>
      <c r="F10" s="31" t="s">
        <v>25</v>
      </c>
      <c r="G10" s="31" t="s">
        <v>78</v>
      </c>
      <c r="H10" s="31" t="s">
        <v>25</v>
      </c>
      <c r="I10" s="31" t="s">
        <v>25</v>
      </c>
      <c r="J10" s="31" t="s">
        <v>496</v>
      </c>
      <c r="K10" s="31" t="s">
        <v>497</v>
      </c>
      <c r="L10" s="31" t="s">
        <v>70</v>
      </c>
      <c r="M10" s="31">
        <v>2021</v>
      </c>
      <c r="N10" s="31">
        <v>0</v>
      </c>
      <c r="O10" s="31">
        <v>7.19</v>
      </c>
      <c r="P10" s="31">
        <v>0</v>
      </c>
    </row>
    <row r="11" spans="1:50" ht="11.25" customHeight="1" x14ac:dyDescent="0.25">
      <c r="A11" s="31">
        <v>10</v>
      </c>
      <c r="B11" s="31" t="s">
        <v>351</v>
      </c>
      <c r="C11" s="31" t="s">
        <v>22</v>
      </c>
      <c r="D11" s="31" t="s">
        <v>85</v>
      </c>
      <c r="E11" s="31" t="s">
        <v>24</v>
      </c>
      <c r="F11" s="31" t="s">
        <v>24</v>
      </c>
      <c r="G11" s="31" t="s">
        <v>25</v>
      </c>
      <c r="H11" s="31" t="s">
        <v>25</v>
      </c>
      <c r="I11" s="31" t="s">
        <v>38</v>
      </c>
      <c r="J11" s="31" t="s">
        <v>496</v>
      </c>
      <c r="K11" s="31" t="s">
        <v>497</v>
      </c>
      <c r="L11" s="31" t="s">
        <v>70</v>
      </c>
      <c r="M11" s="31">
        <v>2021</v>
      </c>
      <c r="N11" s="31">
        <v>0</v>
      </c>
      <c r="O11" s="31">
        <v>296.88</v>
      </c>
      <c r="P11" s="31">
        <v>58.840771953397002</v>
      </c>
    </row>
    <row r="12" spans="1:50" ht="11.25" customHeight="1" x14ac:dyDescent="0.25">
      <c r="A12" s="31">
        <v>11</v>
      </c>
      <c r="B12" s="31" t="s">
        <v>351</v>
      </c>
      <c r="C12" s="31" t="s">
        <v>35</v>
      </c>
      <c r="D12" s="31" t="s">
        <v>36</v>
      </c>
      <c r="E12" s="31" t="s">
        <v>25</v>
      </c>
      <c r="F12" s="31" t="s">
        <v>25</v>
      </c>
      <c r="G12" s="31" t="s">
        <v>25</v>
      </c>
      <c r="H12" s="31" t="s">
        <v>25</v>
      </c>
      <c r="I12" s="31" t="s">
        <v>38</v>
      </c>
      <c r="J12" s="31" t="s">
        <v>496</v>
      </c>
      <c r="K12" s="31" t="s">
        <v>497</v>
      </c>
      <c r="L12" s="31" t="s">
        <v>70</v>
      </c>
      <c r="M12" s="31">
        <v>2021</v>
      </c>
      <c r="N12" s="31">
        <v>0</v>
      </c>
      <c r="O12" s="31">
        <v>67.52</v>
      </c>
      <c r="P12" s="31">
        <v>51.191471599455397</v>
      </c>
    </row>
    <row r="13" spans="1:50" ht="11.25" customHeight="1" x14ac:dyDescent="0.25">
      <c r="A13" s="31">
        <v>12</v>
      </c>
      <c r="B13" s="31" t="s">
        <v>351</v>
      </c>
      <c r="C13" s="31" t="s">
        <v>22</v>
      </c>
      <c r="D13" s="31" t="s">
        <v>23</v>
      </c>
      <c r="E13" s="31" t="s">
        <v>24</v>
      </c>
      <c r="F13" s="31" t="s">
        <v>31</v>
      </c>
      <c r="G13" s="31" t="s">
        <v>25</v>
      </c>
      <c r="H13" s="31" t="s">
        <v>25</v>
      </c>
      <c r="I13" s="31" t="s">
        <v>25</v>
      </c>
      <c r="J13" s="31" t="s">
        <v>496</v>
      </c>
      <c r="K13" s="31" t="s">
        <v>497</v>
      </c>
      <c r="L13" s="31" t="s">
        <v>70</v>
      </c>
      <c r="M13" s="31">
        <v>2021</v>
      </c>
      <c r="N13" s="31">
        <v>0</v>
      </c>
      <c r="O13" s="31">
        <v>367.27</v>
      </c>
      <c r="P13" s="31">
        <v>0</v>
      </c>
    </row>
    <row r="14" spans="1:50" ht="11.25" customHeight="1" x14ac:dyDescent="0.25">
      <c r="A14" s="31">
        <v>13</v>
      </c>
      <c r="B14" s="31" t="s">
        <v>351</v>
      </c>
      <c r="C14" s="31" t="s">
        <v>35</v>
      </c>
      <c r="D14" s="31" t="s">
        <v>36</v>
      </c>
      <c r="E14" s="31" t="s">
        <v>25</v>
      </c>
      <c r="F14" s="31" t="s">
        <v>25</v>
      </c>
      <c r="G14" s="31" t="s">
        <v>25</v>
      </c>
      <c r="H14" s="31" t="s">
        <v>25</v>
      </c>
      <c r="I14" s="31" t="s">
        <v>37</v>
      </c>
      <c r="J14" s="31" t="s">
        <v>496</v>
      </c>
      <c r="K14" s="31" t="s">
        <v>497</v>
      </c>
      <c r="L14" s="31" t="s">
        <v>70</v>
      </c>
      <c r="M14" s="31">
        <v>2021</v>
      </c>
      <c r="N14" s="31">
        <v>0</v>
      </c>
      <c r="O14" s="31">
        <v>2490.0500000000002</v>
      </c>
      <c r="P14" s="31">
        <v>51.191471599455397</v>
      </c>
    </row>
    <row r="15" spans="1:50" ht="11.25" customHeight="1" x14ac:dyDescent="0.25">
      <c r="A15" s="31">
        <v>14</v>
      </c>
      <c r="B15" s="31" t="s">
        <v>351</v>
      </c>
      <c r="C15" s="31" t="s">
        <v>22</v>
      </c>
      <c r="D15" s="31" t="s">
        <v>23</v>
      </c>
      <c r="E15" s="31" t="s">
        <v>24</v>
      </c>
      <c r="F15" s="31" t="s">
        <v>30</v>
      </c>
      <c r="G15" s="31" t="s">
        <v>25</v>
      </c>
      <c r="H15" s="31" t="s">
        <v>25</v>
      </c>
      <c r="I15" s="31" t="s">
        <v>25</v>
      </c>
      <c r="J15" s="31" t="s">
        <v>496</v>
      </c>
      <c r="K15" s="31" t="s">
        <v>497</v>
      </c>
      <c r="L15" s="31" t="s">
        <v>70</v>
      </c>
      <c r="M15" s="31">
        <v>2021</v>
      </c>
      <c r="N15" s="31">
        <v>0</v>
      </c>
      <c r="O15" s="31">
        <v>244.85</v>
      </c>
      <c r="P15" s="31">
        <v>0</v>
      </c>
    </row>
    <row r="16" spans="1:50" ht="11.25" customHeight="1" x14ac:dyDescent="0.25">
      <c r="A16" s="31">
        <v>15</v>
      </c>
      <c r="B16" s="31" t="s">
        <v>351</v>
      </c>
      <c r="C16" s="31" t="s">
        <v>35</v>
      </c>
      <c r="D16" s="31" t="s">
        <v>23</v>
      </c>
      <c r="E16" s="31" t="s">
        <v>25</v>
      </c>
      <c r="F16" s="31" t="s">
        <v>25</v>
      </c>
      <c r="G16" s="31" t="s">
        <v>25</v>
      </c>
      <c r="H16" s="31" t="s">
        <v>25</v>
      </c>
      <c r="I16" s="31" t="s">
        <v>25</v>
      </c>
      <c r="J16" s="31" t="s">
        <v>499</v>
      </c>
      <c r="K16" s="31" t="s">
        <v>497</v>
      </c>
      <c r="L16" s="31" t="s">
        <v>74</v>
      </c>
      <c r="M16" s="31">
        <v>2021</v>
      </c>
      <c r="N16" s="31">
        <v>0</v>
      </c>
      <c r="O16" s="31">
        <v>0</v>
      </c>
      <c r="P16" s="31">
        <v>0</v>
      </c>
    </row>
    <row r="17" spans="1:16" ht="11.25" customHeight="1" x14ac:dyDescent="0.25">
      <c r="A17" s="31">
        <v>16</v>
      </c>
      <c r="B17" s="31" t="s">
        <v>351</v>
      </c>
      <c r="C17" s="31" t="s">
        <v>22</v>
      </c>
      <c r="D17" s="31" t="s">
        <v>87</v>
      </c>
      <c r="E17" s="31" t="s">
        <v>24</v>
      </c>
      <c r="F17" s="31" t="s">
        <v>29</v>
      </c>
      <c r="G17" s="31" t="s">
        <v>25</v>
      </c>
      <c r="H17" s="31" t="s">
        <v>25</v>
      </c>
      <c r="I17" s="31" t="s">
        <v>25</v>
      </c>
      <c r="J17" s="31" t="s">
        <v>496</v>
      </c>
      <c r="K17" s="31" t="s">
        <v>497</v>
      </c>
      <c r="L17" s="31" t="s">
        <v>70</v>
      </c>
      <c r="M17" s="31">
        <v>2021</v>
      </c>
      <c r="N17" s="31">
        <v>0</v>
      </c>
      <c r="O17" s="31">
        <v>142.83000000000001</v>
      </c>
      <c r="P17" s="31">
        <v>0</v>
      </c>
    </row>
    <row r="18" spans="1:16" ht="11.25" customHeight="1" x14ac:dyDescent="0.25">
      <c r="A18" s="31">
        <v>17</v>
      </c>
      <c r="B18" s="31" t="s">
        <v>351</v>
      </c>
      <c r="C18" s="31" t="s">
        <v>35</v>
      </c>
      <c r="D18" s="31" t="s">
        <v>36</v>
      </c>
      <c r="E18" s="31" t="s">
        <v>25</v>
      </c>
      <c r="F18" s="31" t="s">
        <v>25</v>
      </c>
      <c r="G18" s="31" t="s">
        <v>78</v>
      </c>
      <c r="H18" s="31" t="s">
        <v>25</v>
      </c>
      <c r="I18" s="31" t="s">
        <v>37</v>
      </c>
      <c r="J18" s="31" t="s">
        <v>496</v>
      </c>
      <c r="K18" s="31" t="s">
        <v>497</v>
      </c>
      <c r="L18" s="31" t="s">
        <v>70</v>
      </c>
      <c r="M18" s="31">
        <v>2021</v>
      </c>
      <c r="N18" s="31">
        <v>0</v>
      </c>
      <c r="O18" s="31">
        <v>2429.7199999999998</v>
      </c>
      <c r="P18" s="31">
        <v>0</v>
      </c>
    </row>
    <row r="19" spans="1:16" ht="11.25" customHeight="1" x14ac:dyDescent="0.25">
      <c r="A19" s="31">
        <v>18</v>
      </c>
      <c r="B19" s="31" t="s">
        <v>351</v>
      </c>
      <c r="C19" s="31" t="s">
        <v>22</v>
      </c>
      <c r="D19" s="31" t="s">
        <v>23</v>
      </c>
      <c r="E19" s="31" t="s">
        <v>24</v>
      </c>
      <c r="F19" s="31" t="s">
        <v>32</v>
      </c>
      <c r="G19" s="31" t="s">
        <v>25</v>
      </c>
      <c r="H19" s="31" t="s">
        <v>25</v>
      </c>
      <c r="I19" s="31" t="s">
        <v>25</v>
      </c>
      <c r="J19" s="31" t="s">
        <v>496</v>
      </c>
      <c r="K19" s="31" t="s">
        <v>497</v>
      </c>
      <c r="L19" s="31" t="s">
        <v>70</v>
      </c>
      <c r="M19" s="31">
        <v>2021</v>
      </c>
      <c r="N19" s="31">
        <v>0</v>
      </c>
      <c r="O19" s="31">
        <v>408.08</v>
      </c>
      <c r="P19" s="31">
        <v>0</v>
      </c>
    </row>
    <row r="20" spans="1:16" ht="11.25" customHeight="1" x14ac:dyDescent="0.25">
      <c r="A20" s="31">
        <v>19</v>
      </c>
      <c r="B20" s="31" t="s">
        <v>351</v>
      </c>
      <c r="C20" s="31" t="s">
        <v>35</v>
      </c>
      <c r="D20" s="31" t="s">
        <v>79</v>
      </c>
      <c r="E20" s="31" t="s">
        <v>25</v>
      </c>
      <c r="F20" s="31" t="s">
        <v>25</v>
      </c>
      <c r="G20" s="31" t="s">
        <v>25</v>
      </c>
      <c r="H20" s="31" t="s">
        <v>25</v>
      </c>
      <c r="I20" s="31" t="s">
        <v>25</v>
      </c>
      <c r="J20" s="31" t="s">
        <v>499</v>
      </c>
      <c r="K20" s="31" t="s">
        <v>497</v>
      </c>
      <c r="L20" s="31" t="s">
        <v>74</v>
      </c>
      <c r="M20" s="31">
        <v>2021</v>
      </c>
      <c r="N20" s="31">
        <v>0</v>
      </c>
      <c r="O20" s="31">
        <v>8.61</v>
      </c>
      <c r="P20" s="31">
        <v>0</v>
      </c>
    </row>
    <row r="21" spans="1:16" ht="11.25" customHeight="1" x14ac:dyDescent="0.25">
      <c r="A21" s="31">
        <v>20</v>
      </c>
      <c r="B21" s="31" t="s">
        <v>351</v>
      </c>
      <c r="C21" s="31" t="s">
        <v>22</v>
      </c>
      <c r="D21" s="31" t="s">
        <v>23</v>
      </c>
      <c r="E21" s="31" t="s">
        <v>24</v>
      </c>
      <c r="F21" s="31" t="s">
        <v>24</v>
      </c>
      <c r="G21" s="31" t="s">
        <v>25</v>
      </c>
      <c r="H21" s="31" t="s">
        <v>25</v>
      </c>
      <c r="I21" s="31" t="s">
        <v>25</v>
      </c>
      <c r="J21" s="31" t="s">
        <v>496</v>
      </c>
      <c r="K21" s="31" t="s">
        <v>497</v>
      </c>
      <c r="L21" s="31" t="s">
        <v>70</v>
      </c>
      <c r="M21" s="31">
        <v>2021</v>
      </c>
      <c r="N21" s="31">
        <v>0</v>
      </c>
      <c r="O21" s="31">
        <v>476.06</v>
      </c>
      <c r="P21" s="31">
        <v>58.840771953397002</v>
      </c>
    </row>
    <row r="22" spans="1:16" ht="11.25" customHeight="1" x14ac:dyDescent="0.25">
      <c r="A22" s="31">
        <v>21</v>
      </c>
      <c r="B22" s="31" t="s">
        <v>351</v>
      </c>
      <c r="C22" s="31" t="s">
        <v>35</v>
      </c>
      <c r="D22" s="31" t="s">
        <v>73</v>
      </c>
      <c r="E22" s="31" t="s">
        <v>25</v>
      </c>
      <c r="F22" s="31" t="s">
        <v>25</v>
      </c>
      <c r="G22" s="31" t="s">
        <v>25</v>
      </c>
      <c r="H22" s="31" t="s">
        <v>25</v>
      </c>
      <c r="I22" s="31" t="s">
        <v>37</v>
      </c>
      <c r="J22" s="31" t="s">
        <v>499</v>
      </c>
      <c r="K22" s="31" t="s">
        <v>497</v>
      </c>
      <c r="L22" s="31" t="s">
        <v>74</v>
      </c>
      <c r="M22" s="31">
        <v>2021</v>
      </c>
      <c r="N22" s="31">
        <v>0</v>
      </c>
      <c r="O22" s="31">
        <v>100.72</v>
      </c>
      <c r="P22" s="31">
        <v>0</v>
      </c>
    </row>
    <row r="23" spans="1:16" ht="11.25" customHeight="1" x14ac:dyDescent="0.25">
      <c r="A23" s="31">
        <v>22</v>
      </c>
      <c r="B23" s="31" t="s">
        <v>351</v>
      </c>
      <c r="C23" s="31" t="s">
        <v>80</v>
      </c>
      <c r="D23" s="31" t="s">
        <v>79</v>
      </c>
      <c r="E23" s="31" t="s">
        <v>25</v>
      </c>
      <c r="F23" s="31" t="s">
        <v>25</v>
      </c>
      <c r="G23" s="31" t="s">
        <v>82</v>
      </c>
      <c r="H23" s="31" t="s">
        <v>25</v>
      </c>
      <c r="I23" s="31" t="s">
        <v>25</v>
      </c>
      <c r="J23" s="31" t="s">
        <v>499</v>
      </c>
      <c r="K23" s="31" t="s">
        <v>497</v>
      </c>
      <c r="L23" s="31" t="s">
        <v>74</v>
      </c>
      <c r="M23" s="31">
        <v>2021</v>
      </c>
      <c r="N23" s="31">
        <v>0</v>
      </c>
      <c r="O23" s="31">
        <v>18.05</v>
      </c>
      <c r="P23" s="31">
        <v>0</v>
      </c>
    </row>
    <row r="24" spans="1:16" ht="11.25" customHeight="1" x14ac:dyDescent="0.25">
      <c r="A24" s="31">
        <v>23</v>
      </c>
      <c r="B24" s="31" t="s">
        <v>351</v>
      </c>
      <c r="C24" s="31" t="s">
        <v>22</v>
      </c>
      <c r="D24" s="31" t="s">
        <v>87</v>
      </c>
      <c r="E24" s="31" t="s">
        <v>24</v>
      </c>
      <c r="F24" s="31" t="s">
        <v>32</v>
      </c>
      <c r="G24" s="31" t="s">
        <v>25</v>
      </c>
      <c r="H24" s="31" t="s">
        <v>25</v>
      </c>
      <c r="I24" s="31" t="s">
        <v>25</v>
      </c>
      <c r="J24" s="31" t="s">
        <v>496</v>
      </c>
      <c r="K24" s="31" t="s">
        <v>497</v>
      </c>
      <c r="L24" s="31" t="s">
        <v>70</v>
      </c>
      <c r="M24" s="31">
        <v>2021</v>
      </c>
      <c r="N24" s="31">
        <v>0</v>
      </c>
      <c r="O24" s="31">
        <v>408.08</v>
      </c>
      <c r="P24" s="31">
        <v>0</v>
      </c>
    </row>
    <row r="25" spans="1:16" ht="11.25" customHeight="1" x14ac:dyDescent="0.25">
      <c r="A25" s="31">
        <v>24</v>
      </c>
      <c r="B25" s="31" t="s">
        <v>351</v>
      </c>
      <c r="C25" s="31" t="s">
        <v>35</v>
      </c>
      <c r="D25" s="31" t="s">
        <v>73</v>
      </c>
      <c r="E25" s="31" t="s">
        <v>25</v>
      </c>
      <c r="F25" s="31" t="s">
        <v>25</v>
      </c>
      <c r="G25" s="31" t="s">
        <v>25</v>
      </c>
      <c r="H25" s="31" t="s">
        <v>25</v>
      </c>
      <c r="I25" s="31" t="s">
        <v>38</v>
      </c>
      <c r="J25" s="31" t="s">
        <v>499</v>
      </c>
      <c r="K25" s="31" t="s">
        <v>497</v>
      </c>
      <c r="L25" s="31" t="s">
        <v>74</v>
      </c>
      <c r="M25" s="31">
        <v>2021</v>
      </c>
      <c r="N25" s="31">
        <v>0</v>
      </c>
      <c r="O25" s="31">
        <v>32.22</v>
      </c>
      <c r="P25" s="31">
        <v>0</v>
      </c>
    </row>
    <row r="26" spans="1:16" ht="11.25" customHeight="1" x14ac:dyDescent="0.25">
      <c r="A26" s="31">
        <v>25</v>
      </c>
      <c r="B26" s="31" t="s">
        <v>351</v>
      </c>
      <c r="C26" s="31" t="s">
        <v>22</v>
      </c>
      <c r="D26" s="31" t="s">
        <v>85</v>
      </c>
      <c r="E26" s="31" t="s">
        <v>24</v>
      </c>
      <c r="F26" s="31" t="s">
        <v>24</v>
      </c>
      <c r="G26" s="31" t="s">
        <v>25</v>
      </c>
      <c r="H26" s="31" t="s">
        <v>25</v>
      </c>
      <c r="I26" s="31" t="s">
        <v>37</v>
      </c>
      <c r="J26" s="31" t="s">
        <v>496</v>
      </c>
      <c r="K26" s="31" t="s">
        <v>497</v>
      </c>
      <c r="L26" s="31" t="s">
        <v>70</v>
      </c>
      <c r="M26" s="31">
        <v>2021</v>
      </c>
      <c r="N26" s="31">
        <v>0</v>
      </c>
      <c r="O26" s="31">
        <v>1138.6600000000001</v>
      </c>
      <c r="P26" s="31">
        <v>58.840771953397002</v>
      </c>
    </row>
    <row r="27" spans="1:16" ht="11.25" customHeight="1" x14ac:dyDescent="0.25">
      <c r="A27" s="31">
        <v>26</v>
      </c>
      <c r="B27" s="31" t="s">
        <v>351</v>
      </c>
      <c r="C27" s="31" t="s">
        <v>35</v>
      </c>
      <c r="D27" s="31" t="s">
        <v>36</v>
      </c>
      <c r="E27" s="31" t="s">
        <v>25</v>
      </c>
      <c r="F27" s="31" t="s">
        <v>25</v>
      </c>
      <c r="G27" s="31" t="s">
        <v>78</v>
      </c>
      <c r="H27" s="31" t="s">
        <v>25</v>
      </c>
      <c r="I27" s="31" t="s">
        <v>38</v>
      </c>
      <c r="J27" s="31" t="s">
        <v>496</v>
      </c>
      <c r="K27" s="31" t="s">
        <v>497</v>
      </c>
      <c r="L27" s="31" t="s">
        <v>70</v>
      </c>
      <c r="M27" s="31">
        <v>2021</v>
      </c>
      <c r="N27" s="31">
        <v>0</v>
      </c>
      <c r="O27" s="31">
        <v>7.19</v>
      </c>
      <c r="P27" s="31">
        <v>0</v>
      </c>
    </row>
    <row r="28" spans="1:16" ht="11.25" customHeight="1" x14ac:dyDescent="0.25">
      <c r="A28" s="31">
        <v>27</v>
      </c>
      <c r="B28" s="31" t="s">
        <v>351</v>
      </c>
      <c r="C28" s="31" t="s">
        <v>22</v>
      </c>
      <c r="D28" s="31" t="s">
        <v>87</v>
      </c>
      <c r="E28" s="31" t="s">
        <v>24</v>
      </c>
      <c r="F28" s="31" t="s">
        <v>24</v>
      </c>
      <c r="G28" s="31" t="s">
        <v>25</v>
      </c>
      <c r="H28" s="31" t="s">
        <v>25</v>
      </c>
      <c r="I28" s="31" t="s">
        <v>25</v>
      </c>
      <c r="J28" s="31" t="s">
        <v>496</v>
      </c>
      <c r="K28" s="31" t="s">
        <v>497</v>
      </c>
      <c r="L28" s="31" t="s">
        <v>70</v>
      </c>
      <c r="M28" s="31">
        <v>2021</v>
      </c>
      <c r="N28" s="31">
        <v>0</v>
      </c>
      <c r="O28" s="31">
        <v>476.06</v>
      </c>
      <c r="P28" s="31">
        <v>58.840771953397002</v>
      </c>
    </row>
    <row r="29" spans="1:16" ht="11.25" customHeight="1" x14ac:dyDescent="0.25">
      <c r="A29" s="31">
        <v>28</v>
      </c>
      <c r="B29" s="31" t="s">
        <v>351</v>
      </c>
      <c r="C29" s="31" t="s">
        <v>40</v>
      </c>
      <c r="D29" s="31" t="s">
        <v>85</v>
      </c>
      <c r="E29" s="31" t="s">
        <v>41</v>
      </c>
      <c r="F29" s="31" t="s">
        <v>25</v>
      </c>
      <c r="G29" s="31" t="s">
        <v>25</v>
      </c>
      <c r="H29" s="31" t="s">
        <v>25</v>
      </c>
      <c r="I29" s="31" t="s">
        <v>498</v>
      </c>
      <c r="J29" s="31" t="s">
        <v>496</v>
      </c>
      <c r="K29" s="31" t="s">
        <v>497</v>
      </c>
      <c r="L29" s="31" t="s">
        <v>70</v>
      </c>
      <c r="M29" s="31">
        <v>2021</v>
      </c>
      <c r="N29" s="31">
        <v>0</v>
      </c>
      <c r="O29" s="31">
        <v>711.16</v>
      </c>
      <c r="P29" s="31">
        <v>51.779879318989302</v>
      </c>
    </row>
    <row r="30" spans="1:16" ht="11.25" customHeight="1" x14ac:dyDescent="0.25">
      <c r="A30" s="31">
        <v>29</v>
      </c>
      <c r="B30" s="31" t="s">
        <v>351</v>
      </c>
      <c r="C30" s="31" t="s">
        <v>33</v>
      </c>
      <c r="D30" s="31" t="s">
        <v>85</v>
      </c>
      <c r="E30" s="31" t="s">
        <v>25</v>
      </c>
      <c r="F30" s="31" t="s">
        <v>25</v>
      </c>
      <c r="G30" s="31" t="s">
        <v>25</v>
      </c>
      <c r="H30" s="31" t="s">
        <v>25</v>
      </c>
      <c r="I30" s="31" t="s">
        <v>37</v>
      </c>
      <c r="J30" s="31" t="s">
        <v>496</v>
      </c>
      <c r="K30" s="31" t="s">
        <v>497</v>
      </c>
      <c r="L30" s="31" t="s">
        <v>70</v>
      </c>
      <c r="M30" s="31">
        <v>2021</v>
      </c>
      <c r="N30" s="31">
        <v>0</v>
      </c>
      <c r="O30" s="31">
        <v>1430.88</v>
      </c>
      <c r="P30" s="31">
        <v>58.840771953397002</v>
      </c>
    </row>
    <row r="31" spans="1:16" ht="11.25" customHeight="1" x14ac:dyDescent="0.25">
      <c r="A31" s="31">
        <v>30</v>
      </c>
      <c r="B31" s="31" t="s">
        <v>351</v>
      </c>
      <c r="C31" s="31" t="s">
        <v>40</v>
      </c>
      <c r="D31" s="31" t="s">
        <v>85</v>
      </c>
      <c r="E31" s="31" t="s">
        <v>41</v>
      </c>
      <c r="F31" s="31" t="s">
        <v>88</v>
      </c>
      <c r="G31" s="31" t="s">
        <v>25</v>
      </c>
      <c r="H31" s="31" t="s">
        <v>25</v>
      </c>
      <c r="I31" s="31" t="s">
        <v>38</v>
      </c>
      <c r="J31" s="31" t="s">
        <v>496</v>
      </c>
      <c r="K31" s="31" t="s">
        <v>497</v>
      </c>
      <c r="L31" s="31" t="s">
        <v>70</v>
      </c>
      <c r="M31" s="31">
        <v>2021</v>
      </c>
      <c r="N31" s="31">
        <v>0</v>
      </c>
      <c r="O31" s="31">
        <v>287.70999999999998</v>
      </c>
      <c r="P31" s="31">
        <v>51.779879318989302</v>
      </c>
    </row>
    <row r="32" spans="1:16" ht="11.25" customHeight="1" x14ac:dyDescent="0.25">
      <c r="A32" s="31">
        <v>31</v>
      </c>
      <c r="B32" s="31" t="s">
        <v>351</v>
      </c>
      <c r="C32" s="31" t="s">
        <v>33</v>
      </c>
      <c r="D32" s="31" t="s">
        <v>87</v>
      </c>
      <c r="E32" s="31" t="s">
        <v>25</v>
      </c>
      <c r="F32" s="31" t="s">
        <v>25</v>
      </c>
      <c r="G32" s="31" t="s">
        <v>25</v>
      </c>
      <c r="H32" s="31" t="s">
        <v>25</v>
      </c>
      <c r="I32" s="31" t="s">
        <v>25</v>
      </c>
      <c r="J32" s="31" t="s">
        <v>496</v>
      </c>
      <c r="K32" s="31" t="s">
        <v>497</v>
      </c>
      <c r="L32" s="31" t="s">
        <v>70</v>
      </c>
      <c r="M32" s="31">
        <v>2021</v>
      </c>
      <c r="N32" s="31">
        <v>0</v>
      </c>
      <c r="O32" s="31">
        <v>476.06</v>
      </c>
      <c r="P32" s="31">
        <v>58.840771953397002</v>
      </c>
    </row>
    <row r="33" spans="1:16" ht="11.25" customHeight="1" x14ac:dyDescent="0.25">
      <c r="A33" s="31">
        <v>32</v>
      </c>
      <c r="B33" s="31" t="s">
        <v>351</v>
      </c>
      <c r="C33" s="31" t="s">
        <v>40</v>
      </c>
      <c r="D33" s="31" t="s">
        <v>23</v>
      </c>
      <c r="E33" s="31" t="s">
        <v>41</v>
      </c>
      <c r="F33" s="31" t="s">
        <v>88</v>
      </c>
      <c r="G33" s="31" t="s">
        <v>25</v>
      </c>
      <c r="H33" s="31" t="s">
        <v>25</v>
      </c>
      <c r="I33" s="31" t="s">
        <v>25</v>
      </c>
      <c r="J33" s="31" t="s">
        <v>496</v>
      </c>
      <c r="K33" s="31" t="s">
        <v>497</v>
      </c>
      <c r="L33" s="31" t="s">
        <v>70</v>
      </c>
      <c r="M33" s="31">
        <v>2021</v>
      </c>
      <c r="N33" s="31">
        <v>0</v>
      </c>
      <c r="O33" s="31">
        <v>418.93</v>
      </c>
      <c r="P33" s="31">
        <v>51.779879318989302</v>
      </c>
    </row>
    <row r="34" spans="1:16" ht="11.25" customHeight="1" x14ac:dyDescent="0.25">
      <c r="A34" s="31">
        <v>33</v>
      </c>
      <c r="B34" s="31" t="s">
        <v>351</v>
      </c>
      <c r="C34" s="31" t="s">
        <v>43</v>
      </c>
      <c r="D34" s="31" t="s">
        <v>23</v>
      </c>
      <c r="E34" s="31" t="s">
        <v>44</v>
      </c>
      <c r="F34" s="31" t="s">
        <v>45</v>
      </c>
      <c r="G34" s="31" t="s">
        <v>25</v>
      </c>
      <c r="H34" s="31" t="s">
        <v>25</v>
      </c>
      <c r="I34" s="31" t="s">
        <v>25</v>
      </c>
      <c r="J34" s="31" t="s">
        <v>496</v>
      </c>
      <c r="K34" s="31" t="s">
        <v>497</v>
      </c>
      <c r="L34" s="31" t="s">
        <v>70</v>
      </c>
      <c r="M34" s="31">
        <v>2021</v>
      </c>
      <c r="N34" s="31">
        <v>0</v>
      </c>
      <c r="O34" s="31">
        <v>261.83</v>
      </c>
      <c r="P34" s="31">
        <v>32.362424574368298</v>
      </c>
    </row>
    <row r="35" spans="1:16" ht="11.25" customHeight="1" x14ac:dyDescent="0.25">
      <c r="A35" s="31">
        <v>34</v>
      </c>
      <c r="B35" s="31" t="s">
        <v>351</v>
      </c>
      <c r="C35" s="31" t="s">
        <v>40</v>
      </c>
      <c r="D35" s="31" t="s">
        <v>23</v>
      </c>
      <c r="E35" s="31" t="s">
        <v>41</v>
      </c>
      <c r="F35" s="31" t="s">
        <v>25</v>
      </c>
      <c r="G35" s="31" t="s">
        <v>25</v>
      </c>
      <c r="H35" s="31" t="s">
        <v>25</v>
      </c>
      <c r="I35" s="31" t="s">
        <v>25</v>
      </c>
      <c r="J35" s="31" t="s">
        <v>496</v>
      </c>
      <c r="K35" s="31" t="s">
        <v>497</v>
      </c>
      <c r="L35" s="31" t="s">
        <v>70</v>
      </c>
      <c r="M35" s="31">
        <v>2021</v>
      </c>
      <c r="N35" s="31">
        <v>0</v>
      </c>
      <c r="O35" s="31">
        <v>418.93</v>
      </c>
      <c r="P35" s="31">
        <v>51.779879318989302</v>
      </c>
    </row>
    <row r="36" spans="1:16" ht="11.25" customHeight="1" x14ac:dyDescent="0.25">
      <c r="A36" s="31">
        <v>35</v>
      </c>
      <c r="B36" s="31" t="s">
        <v>351</v>
      </c>
      <c r="C36" s="31" t="s">
        <v>33</v>
      </c>
      <c r="D36" s="31" t="s">
        <v>85</v>
      </c>
      <c r="E36" s="31" t="s">
        <v>25</v>
      </c>
      <c r="F36" s="31" t="s">
        <v>25</v>
      </c>
      <c r="G36" s="31" t="s">
        <v>25</v>
      </c>
      <c r="H36" s="31" t="s">
        <v>25</v>
      </c>
      <c r="I36" s="31" t="s">
        <v>498</v>
      </c>
      <c r="J36" s="31" t="s">
        <v>496</v>
      </c>
      <c r="K36" s="31" t="s">
        <v>497</v>
      </c>
      <c r="L36" s="31" t="s">
        <v>70</v>
      </c>
      <c r="M36" s="31">
        <v>2021</v>
      </c>
      <c r="N36" s="31">
        <v>0</v>
      </c>
      <c r="O36" s="31">
        <v>893.04</v>
      </c>
      <c r="P36" s="31">
        <v>58.840771953397002</v>
      </c>
    </row>
    <row r="37" spans="1:16" ht="11.25" customHeight="1" x14ac:dyDescent="0.25">
      <c r="A37" s="31">
        <v>36</v>
      </c>
      <c r="B37" s="31" t="s">
        <v>351</v>
      </c>
      <c r="C37" s="31" t="s">
        <v>40</v>
      </c>
      <c r="D37" s="31" t="s">
        <v>23</v>
      </c>
      <c r="E37" s="31" t="s">
        <v>41</v>
      </c>
      <c r="F37" s="31" t="s">
        <v>89</v>
      </c>
      <c r="G37" s="31" t="s">
        <v>25</v>
      </c>
      <c r="H37" s="31" t="s">
        <v>25</v>
      </c>
      <c r="I37" s="31" t="s">
        <v>25</v>
      </c>
      <c r="J37" s="31" t="s">
        <v>496</v>
      </c>
      <c r="K37" s="31" t="s">
        <v>497</v>
      </c>
      <c r="L37" s="31" t="s">
        <v>70</v>
      </c>
      <c r="M37" s="31">
        <v>2021</v>
      </c>
      <c r="N37" s="31">
        <v>0</v>
      </c>
      <c r="O37" s="31">
        <v>399.89</v>
      </c>
      <c r="P37" s="31">
        <v>49.426248440853499</v>
      </c>
    </row>
    <row r="38" spans="1:16" ht="11.25" customHeight="1" x14ac:dyDescent="0.25">
      <c r="A38" s="31">
        <v>37</v>
      </c>
      <c r="B38" s="31" t="s">
        <v>379</v>
      </c>
      <c r="C38" s="31" t="s">
        <v>35</v>
      </c>
      <c r="D38" s="31" t="s">
        <v>84</v>
      </c>
      <c r="E38" s="31" t="s">
        <v>25</v>
      </c>
      <c r="F38" s="31" t="s">
        <v>25</v>
      </c>
      <c r="G38" s="31" t="s">
        <v>25</v>
      </c>
      <c r="H38" s="31" t="s">
        <v>25</v>
      </c>
      <c r="I38" s="31" t="s">
        <v>25</v>
      </c>
      <c r="J38" s="31" t="s">
        <v>496</v>
      </c>
      <c r="K38" s="31" t="s">
        <v>497</v>
      </c>
      <c r="L38" s="31" t="s">
        <v>70</v>
      </c>
      <c r="M38" s="31">
        <v>2021</v>
      </c>
      <c r="N38" s="31">
        <v>0</v>
      </c>
      <c r="O38" s="31">
        <v>165.21</v>
      </c>
      <c r="P38" s="31"/>
    </row>
    <row r="39" spans="1:16" ht="11.25" customHeight="1" x14ac:dyDescent="0.25">
      <c r="A39" s="31">
        <v>38</v>
      </c>
      <c r="B39" s="31" t="s">
        <v>379</v>
      </c>
      <c r="C39" s="31" t="s">
        <v>22</v>
      </c>
      <c r="D39" s="31" t="s">
        <v>69</v>
      </c>
      <c r="E39" s="31" t="s">
        <v>24</v>
      </c>
      <c r="F39" s="31" t="s">
        <v>24</v>
      </c>
      <c r="G39" s="31" t="s">
        <v>25</v>
      </c>
      <c r="H39" s="31" t="s">
        <v>25</v>
      </c>
      <c r="I39" s="31" t="s">
        <v>37</v>
      </c>
      <c r="J39" s="31" t="s">
        <v>496</v>
      </c>
      <c r="K39" s="31" t="s">
        <v>497</v>
      </c>
      <c r="L39" s="31" t="s">
        <v>70</v>
      </c>
      <c r="M39" s="31">
        <v>2021</v>
      </c>
      <c r="N39" s="31">
        <v>0</v>
      </c>
      <c r="O39" s="31">
        <v>165.21</v>
      </c>
      <c r="P39" s="31"/>
    </row>
    <row r="40" spans="1:16" ht="11.25" customHeight="1" x14ac:dyDescent="0.25">
      <c r="A40" s="31">
        <v>39</v>
      </c>
      <c r="B40" s="31" t="s">
        <v>351</v>
      </c>
      <c r="C40" s="31" t="s">
        <v>40</v>
      </c>
      <c r="D40" s="31" t="s">
        <v>85</v>
      </c>
      <c r="E40" s="31" t="s">
        <v>41</v>
      </c>
      <c r="F40" s="31" t="s">
        <v>89</v>
      </c>
      <c r="G40" s="31" t="s">
        <v>25</v>
      </c>
      <c r="H40" s="31" t="s">
        <v>25</v>
      </c>
      <c r="I40" s="31" t="s">
        <v>37</v>
      </c>
      <c r="J40" s="31" t="s">
        <v>496</v>
      </c>
      <c r="K40" s="31" t="s">
        <v>497</v>
      </c>
      <c r="L40" s="31" t="s">
        <v>70</v>
      </c>
      <c r="M40" s="31">
        <v>2021</v>
      </c>
      <c r="N40" s="31">
        <v>0</v>
      </c>
      <c r="O40" s="31">
        <v>1083.08</v>
      </c>
      <c r="P40" s="31">
        <v>49.426248440853499</v>
      </c>
    </row>
    <row r="41" spans="1:16" ht="11.25" customHeight="1" x14ac:dyDescent="0.25">
      <c r="A41" s="31">
        <v>40</v>
      </c>
      <c r="B41" s="31" t="s">
        <v>351</v>
      </c>
      <c r="C41" s="31" t="s">
        <v>43</v>
      </c>
      <c r="D41" s="31" t="s">
        <v>23</v>
      </c>
      <c r="E41" s="31" t="s">
        <v>44</v>
      </c>
      <c r="F41" s="31" t="s">
        <v>46</v>
      </c>
      <c r="G41" s="31" t="s">
        <v>25</v>
      </c>
      <c r="H41" s="31" t="s">
        <v>25</v>
      </c>
      <c r="I41" s="31" t="s">
        <v>25</v>
      </c>
      <c r="J41" s="31" t="s">
        <v>496</v>
      </c>
      <c r="K41" s="31" t="s">
        <v>497</v>
      </c>
      <c r="L41" s="31" t="s">
        <v>70</v>
      </c>
      <c r="M41" s="31">
        <v>2021</v>
      </c>
      <c r="N41" s="31">
        <v>0</v>
      </c>
      <c r="O41" s="31">
        <v>285.64</v>
      </c>
      <c r="P41" s="31">
        <v>35.304463172038197</v>
      </c>
    </row>
    <row r="42" spans="1:16" ht="11.25" customHeight="1" x14ac:dyDescent="0.25">
      <c r="A42" s="31">
        <v>41</v>
      </c>
      <c r="B42" s="31" t="s">
        <v>351</v>
      </c>
      <c r="C42" s="31" t="s">
        <v>40</v>
      </c>
      <c r="D42" s="31" t="s">
        <v>85</v>
      </c>
      <c r="E42" s="31" t="s">
        <v>41</v>
      </c>
      <c r="F42" s="31" t="s">
        <v>89</v>
      </c>
      <c r="G42" s="31" t="s">
        <v>25</v>
      </c>
      <c r="H42" s="31" t="s">
        <v>25</v>
      </c>
      <c r="I42" s="31" t="s">
        <v>498</v>
      </c>
      <c r="J42" s="31" t="s">
        <v>496</v>
      </c>
      <c r="K42" s="31" t="s">
        <v>497</v>
      </c>
      <c r="L42" s="31" t="s">
        <v>70</v>
      </c>
      <c r="M42" s="31">
        <v>2021</v>
      </c>
      <c r="N42" s="31">
        <v>0</v>
      </c>
      <c r="O42" s="31">
        <v>678.83</v>
      </c>
      <c r="P42" s="31">
        <v>49.426248440853499</v>
      </c>
    </row>
    <row r="43" spans="1:16" ht="11.25" customHeight="1" x14ac:dyDescent="0.25">
      <c r="A43" s="31">
        <v>42</v>
      </c>
      <c r="B43" s="31" t="s">
        <v>379</v>
      </c>
      <c r="C43" s="31" t="s">
        <v>35</v>
      </c>
      <c r="D43" s="31" t="s">
        <v>69</v>
      </c>
      <c r="E43" s="31" t="s">
        <v>25</v>
      </c>
      <c r="F43" s="31" t="s">
        <v>25</v>
      </c>
      <c r="G43" s="31" t="s">
        <v>25</v>
      </c>
      <c r="H43" s="31" t="s">
        <v>25</v>
      </c>
      <c r="I43" s="31" t="s">
        <v>37</v>
      </c>
      <c r="J43" s="31" t="s">
        <v>496</v>
      </c>
      <c r="K43" s="31" t="s">
        <v>497</v>
      </c>
      <c r="L43" s="31" t="s">
        <v>70</v>
      </c>
      <c r="M43" s="31">
        <v>2021</v>
      </c>
      <c r="N43" s="31">
        <v>0</v>
      </c>
      <c r="O43" s="31">
        <v>165.21</v>
      </c>
      <c r="P43" s="31"/>
    </row>
    <row r="44" spans="1:16" ht="11.25" customHeight="1" x14ac:dyDescent="0.25">
      <c r="A44" s="31">
        <v>43</v>
      </c>
      <c r="B44" s="31" t="s">
        <v>351</v>
      </c>
      <c r="C44" s="31" t="s">
        <v>40</v>
      </c>
      <c r="D44" s="31" t="s">
        <v>87</v>
      </c>
      <c r="E44" s="31" t="s">
        <v>41</v>
      </c>
      <c r="F44" s="31" t="s">
        <v>89</v>
      </c>
      <c r="G44" s="31" t="s">
        <v>25</v>
      </c>
      <c r="H44" s="31" t="s">
        <v>25</v>
      </c>
      <c r="I44" s="31" t="s">
        <v>25</v>
      </c>
      <c r="J44" s="31" t="s">
        <v>496</v>
      </c>
      <c r="K44" s="31" t="s">
        <v>497</v>
      </c>
      <c r="L44" s="31" t="s">
        <v>70</v>
      </c>
      <c r="M44" s="31">
        <v>2021</v>
      </c>
      <c r="N44" s="31">
        <v>0</v>
      </c>
      <c r="O44" s="31">
        <v>399.89</v>
      </c>
      <c r="P44" s="31">
        <v>49.426248440853499</v>
      </c>
    </row>
    <row r="45" spans="1:16" ht="11.25" customHeight="1" x14ac:dyDescent="0.25">
      <c r="A45" s="31">
        <v>44</v>
      </c>
      <c r="B45" s="31" t="s">
        <v>351</v>
      </c>
      <c r="C45" s="31" t="s">
        <v>40</v>
      </c>
      <c r="D45" s="31" t="s">
        <v>85</v>
      </c>
      <c r="E45" s="31" t="s">
        <v>41</v>
      </c>
      <c r="F45" s="31" t="s">
        <v>88</v>
      </c>
      <c r="G45" s="31" t="s">
        <v>25</v>
      </c>
      <c r="H45" s="31" t="s">
        <v>25</v>
      </c>
      <c r="I45" s="31" t="s">
        <v>37</v>
      </c>
      <c r="J45" s="31" t="s">
        <v>496</v>
      </c>
      <c r="K45" s="31" t="s">
        <v>497</v>
      </c>
      <c r="L45" s="31" t="s">
        <v>70</v>
      </c>
      <c r="M45" s="31">
        <v>2021</v>
      </c>
      <c r="N45" s="31">
        <v>0</v>
      </c>
      <c r="O45" s="31">
        <v>1134.6500000000001</v>
      </c>
      <c r="P45" s="31">
        <v>51.779879318989302</v>
      </c>
    </row>
    <row r="46" spans="1:16" ht="11.25" customHeight="1" x14ac:dyDescent="0.25">
      <c r="A46" s="31">
        <v>45</v>
      </c>
      <c r="B46" s="31" t="s">
        <v>351</v>
      </c>
      <c r="C46" s="31" t="s">
        <v>33</v>
      </c>
      <c r="D46" s="31" t="s">
        <v>85</v>
      </c>
      <c r="E46" s="31" t="s">
        <v>25</v>
      </c>
      <c r="F46" s="31" t="s">
        <v>25</v>
      </c>
      <c r="G46" s="31" t="s">
        <v>25</v>
      </c>
      <c r="H46" s="31" t="s">
        <v>25</v>
      </c>
      <c r="I46" s="31" t="s">
        <v>38</v>
      </c>
      <c r="J46" s="31" t="s">
        <v>496</v>
      </c>
      <c r="K46" s="31" t="s">
        <v>497</v>
      </c>
      <c r="L46" s="31" t="s">
        <v>70</v>
      </c>
      <c r="M46" s="31">
        <v>2021</v>
      </c>
      <c r="N46" s="31">
        <v>0</v>
      </c>
      <c r="O46" s="31">
        <v>355.25</v>
      </c>
      <c r="P46" s="31">
        <v>58.840771953397002</v>
      </c>
    </row>
    <row r="47" spans="1:16" ht="11.25" customHeight="1" x14ac:dyDescent="0.25">
      <c r="A47" s="31">
        <v>46</v>
      </c>
      <c r="B47" s="31" t="s">
        <v>351</v>
      </c>
      <c r="C47" s="31" t="s">
        <v>40</v>
      </c>
      <c r="D47" s="31" t="s">
        <v>87</v>
      </c>
      <c r="E47" s="31" t="s">
        <v>41</v>
      </c>
      <c r="F47" s="31" t="s">
        <v>25</v>
      </c>
      <c r="G47" s="31" t="s">
        <v>25</v>
      </c>
      <c r="H47" s="31" t="s">
        <v>25</v>
      </c>
      <c r="I47" s="31" t="s">
        <v>25</v>
      </c>
      <c r="J47" s="31" t="s">
        <v>496</v>
      </c>
      <c r="K47" s="31" t="s">
        <v>497</v>
      </c>
      <c r="L47" s="31" t="s">
        <v>70</v>
      </c>
      <c r="M47" s="31">
        <v>2021</v>
      </c>
      <c r="N47" s="31">
        <v>0</v>
      </c>
      <c r="O47" s="31">
        <v>418.93</v>
      </c>
      <c r="P47" s="31">
        <v>51.779879318989302</v>
      </c>
    </row>
    <row r="48" spans="1:16" ht="11.25" customHeight="1" x14ac:dyDescent="0.25">
      <c r="A48" s="31">
        <v>47</v>
      </c>
      <c r="B48" s="31" t="s">
        <v>379</v>
      </c>
      <c r="C48" s="31" t="s">
        <v>22</v>
      </c>
      <c r="D48" s="31" t="s">
        <v>84</v>
      </c>
      <c r="E48" s="31" t="s">
        <v>24</v>
      </c>
      <c r="F48" s="31" t="s">
        <v>29</v>
      </c>
      <c r="G48" s="31" t="s">
        <v>25</v>
      </c>
      <c r="H48" s="31" t="s">
        <v>25</v>
      </c>
      <c r="I48" s="31" t="s">
        <v>25</v>
      </c>
      <c r="J48" s="31" t="s">
        <v>496</v>
      </c>
      <c r="K48" s="31" t="s">
        <v>497</v>
      </c>
      <c r="L48" s="31" t="s">
        <v>70</v>
      </c>
      <c r="M48" s="31">
        <v>2021</v>
      </c>
      <c r="N48" s="31">
        <v>0</v>
      </c>
      <c r="O48" s="31">
        <v>57.82</v>
      </c>
      <c r="P48" s="31"/>
    </row>
    <row r="49" spans="1:16" ht="11.25" customHeight="1" x14ac:dyDescent="0.25">
      <c r="A49" s="31">
        <v>48</v>
      </c>
      <c r="B49" s="31" t="s">
        <v>379</v>
      </c>
      <c r="C49" s="31" t="s">
        <v>40</v>
      </c>
      <c r="D49" s="31" t="s">
        <v>69</v>
      </c>
      <c r="E49" s="31" t="s">
        <v>41</v>
      </c>
      <c r="F49" s="31" t="s">
        <v>88</v>
      </c>
      <c r="G49" s="31" t="s">
        <v>25</v>
      </c>
      <c r="H49" s="31" t="s">
        <v>25</v>
      </c>
      <c r="I49" s="31" t="s">
        <v>498</v>
      </c>
      <c r="J49" s="31" t="s">
        <v>496</v>
      </c>
      <c r="K49" s="31" t="s">
        <v>497</v>
      </c>
      <c r="L49" s="31" t="s">
        <v>70</v>
      </c>
      <c r="M49" s="31">
        <v>2021</v>
      </c>
      <c r="N49" s="31">
        <v>0</v>
      </c>
      <c r="O49" s="31">
        <v>145.38</v>
      </c>
      <c r="P49" s="31"/>
    </row>
    <row r="50" spans="1:16" ht="11.25" customHeight="1" x14ac:dyDescent="0.25">
      <c r="A50" s="31">
        <v>49</v>
      </c>
      <c r="B50" s="31" t="s">
        <v>351</v>
      </c>
      <c r="C50" s="31" t="s">
        <v>40</v>
      </c>
      <c r="D50" s="31" t="s">
        <v>85</v>
      </c>
      <c r="E50" s="31" t="s">
        <v>41</v>
      </c>
      <c r="F50" s="31" t="s">
        <v>88</v>
      </c>
      <c r="G50" s="31" t="s">
        <v>25</v>
      </c>
      <c r="H50" s="31" t="s">
        <v>25</v>
      </c>
      <c r="I50" s="31" t="s">
        <v>498</v>
      </c>
      <c r="J50" s="31" t="s">
        <v>496</v>
      </c>
      <c r="K50" s="31" t="s">
        <v>497</v>
      </c>
      <c r="L50" s="31" t="s">
        <v>70</v>
      </c>
      <c r="M50" s="31">
        <v>2021</v>
      </c>
      <c r="N50" s="31">
        <v>0</v>
      </c>
      <c r="O50" s="31">
        <v>711.16</v>
      </c>
      <c r="P50" s="31">
        <v>51.779879318989302</v>
      </c>
    </row>
    <row r="51" spans="1:16" ht="11.25" customHeight="1" x14ac:dyDescent="0.25">
      <c r="A51" s="31">
        <v>50</v>
      </c>
      <c r="B51" s="31" t="s">
        <v>351</v>
      </c>
      <c r="C51" s="31" t="s">
        <v>33</v>
      </c>
      <c r="D51" s="31" t="s">
        <v>23</v>
      </c>
      <c r="E51" s="31" t="s">
        <v>25</v>
      </c>
      <c r="F51" s="31" t="s">
        <v>25</v>
      </c>
      <c r="G51" s="31" t="s">
        <v>25</v>
      </c>
      <c r="H51" s="31" t="s">
        <v>25</v>
      </c>
      <c r="I51" s="31" t="s">
        <v>25</v>
      </c>
      <c r="J51" s="31" t="s">
        <v>496</v>
      </c>
      <c r="K51" s="31" t="s">
        <v>497</v>
      </c>
      <c r="L51" s="31" t="s">
        <v>70</v>
      </c>
      <c r="M51" s="31">
        <v>2021</v>
      </c>
      <c r="N51" s="31">
        <v>0</v>
      </c>
      <c r="O51" s="31">
        <v>476.06</v>
      </c>
      <c r="P51" s="31">
        <v>58.840771953397002</v>
      </c>
    </row>
    <row r="52" spans="1:16" ht="11.25" customHeight="1" x14ac:dyDescent="0.25">
      <c r="A52" s="31">
        <v>51</v>
      </c>
      <c r="B52" s="31" t="s">
        <v>379</v>
      </c>
      <c r="C52" s="31" t="s">
        <v>22</v>
      </c>
      <c r="D52" s="31" t="s">
        <v>84</v>
      </c>
      <c r="E52" s="31" t="s">
        <v>24</v>
      </c>
      <c r="F52" s="31" t="s">
        <v>24</v>
      </c>
      <c r="G52" s="31" t="s">
        <v>25</v>
      </c>
      <c r="H52" s="31" t="s">
        <v>25</v>
      </c>
      <c r="I52" s="31" t="s">
        <v>25</v>
      </c>
      <c r="J52" s="31" t="s">
        <v>496</v>
      </c>
      <c r="K52" s="31" t="s">
        <v>497</v>
      </c>
      <c r="L52" s="31" t="s">
        <v>70</v>
      </c>
      <c r="M52" s="31">
        <v>2021</v>
      </c>
      <c r="N52" s="31">
        <v>0</v>
      </c>
      <c r="O52" s="31">
        <v>165.21</v>
      </c>
      <c r="P52" s="31"/>
    </row>
    <row r="53" spans="1:16" ht="11.25" customHeight="1" x14ac:dyDescent="0.25">
      <c r="A53" s="31">
        <v>52</v>
      </c>
      <c r="B53" s="31" t="s">
        <v>379</v>
      </c>
      <c r="C53" s="31" t="s">
        <v>40</v>
      </c>
      <c r="D53" s="31" t="s">
        <v>84</v>
      </c>
      <c r="E53" s="31" t="s">
        <v>41</v>
      </c>
      <c r="F53" s="31" t="s">
        <v>25</v>
      </c>
      <c r="G53" s="31" t="s">
        <v>25</v>
      </c>
      <c r="H53" s="31" t="s">
        <v>25</v>
      </c>
      <c r="I53" s="31" t="s">
        <v>25</v>
      </c>
      <c r="J53" s="31" t="s">
        <v>496</v>
      </c>
      <c r="K53" s="31" t="s">
        <v>497</v>
      </c>
      <c r="L53" s="31" t="s">
        <v>70</v>
      </c>
      <c r="M53" s="31">
        <v>2021</v>
      </c>
      <c r="N53" s="31">
        <v>0</v>
      </c>
      <c r="O53" s="31">
        <v>145.38</v>
      </c>
      <c r="P53" s="31"/>
    </row>
    <row r="54" spans="1:16" ht="11.25" customHeight="1" x14ac:dyDescent="0.25">
      <c r="A54" s="31">
        <v>53</v>
      </c>
      <c r="B54" s="31" t="s">
        <v>351</v>
      </c>
      <c r="C54" s="31" t="s">
        <v>40</v>
      </c>
      <c r="D54" s="31" t="s">
        <v>85</v>
      </c>
      <c r="E54" s="31" t="s">
        <v>41</v>
      </c>
      <c r="F54" s="31" t="s">
        <v>25</v>
      </c>
      <c r="G54" s="31" t="s">
        <v>25</v>
      </c>
      <c r="H54" s="31" t="s">
        <v>25</v>
      </c>
      <c r="I54" s="31" t="s">
        <v>37</v>
      </c>
      <c r="J54" s="31" t="s">
        <v>496</v>
      </c>
      <c r="K54" s="31" t="s">
        <v>497</v>
      </c>
      <c r="L54" s="31" t="s">
        <v>70</v>
      </c>
      <c r="M54" s="31">
        <v>2021</v>
      </c>
      <c r="N54" s="31">
        <v>0</v>
      </c>
      <c r="O54" s="31">
        <v>1134.6500000000001</v>
      </c>
      <c r="P54" s="31">
        <v>51.779879318989302</v>
      </c>
    </row>
    <row r="55" spans="1:16" ht="11.25" customHeight="1" x14ac:dyDescent="0.25">
      <c r="A55" s="31">
        <v>54</v>
      </c>
      <c r="B55" s="31" t="s">
        <v>351</v>
      </c>
      <c r="C55" s="31" t="s">
        <v>40</v>
      </c>
      <c r="D55" s="31" t="s">
        <v>87</v>
      </c>
      <c r="E55" s="31" t="s">
        <v>41</v>
      </c>
      <c r="F55" s="31" t="s">
        <v>88</v>
      </c>
      <c r="G55" s="31" t="s">
        <v>25</v>
      </c>
      <c r="H55" s="31" t="s">
        <v>25</v>
      </c>
      <c r="I55" s="31" t="s">
        <v>25</v>
      </c>
      <c r="J55" s="31" t="s">
        <v>496</v>
      </c>
      <c r="K55" s="31" t="s">
        <v>497</v>
      </c>
      <c r="L55" s="31" t="s">
        <v>70</v>
      </c>
      <c r="M55" s="31">
        <v>2021</v>
      </c>
      <c r="N55" s="31">
        <v>0</v>
      </c>
      <c r="O55" s="31">
        <v>418.93</v>
      </c>
      <c r="P55" s="31">
        <v>51.779879318989302</v>
      </c>
    </row>
    <row r="56" spans="1:16" ht="11.25" customHeight="1" x14ac:dyDescent="0.25">
      <c r="A56" s="31">
        <v>55</v>
      </c>
      <c r="B56" s="31" t="s">
        <v>351</v>
      </c>
      <c r="C56" s="31" t="s">
        <v>40</v>
      </c>
      <c r="D56" s="31" t="s">
        <v>85</v>
      </c>
      <c r="E56" s="31" t="s">
        <v>41</v>
      </c>
      <c r="F56" s="31" t="s">
        <v>89</v>
      </c>
      <c r="G56" s="31" t="s">
        <v>25</v>
      </c>
      <c r="H56" s="31" t="s">
        <v>25</v>
      </c>
      <c r="I56" s="31" t="s">
        <v>38</v>
      </c>
      <c r="J56" s="31" t="s">
        <v>496</v>
      </c>
      <c r="K56" s="31" t="s">
        <v>497</v>
      </c>
      <c r="L56" s="31" t="s">
        <v>70</v>
      </c>
      <c r="M56" s="31">
        <v>2021</v>
      </c>
      <c r="N56" s="31">
        <v>0</v>
      </c>
      <c r="O56" s="31">
        <v>274.63</v>
      </c>
      <c r="P56" s="31">
        <v>49.426248440853499</v>
      </c>
    </row>
    <row r="57" spans="1:16" ht="11.25" customHeight="1" x14ac:dyDescent="0.25">
      <c r="A57" s="31">
        <v>56</v>
      </c>
      <c r="B57" s="31" t="s">
        <v>379</v>
      </c>
      <c r="C57" s="31" t="s">
        <v>35</v>
      </c>
      <c r="D57" s="31" t="s">
        <v>69</v>
      </c>
      <c r="E57" s="31" t="s">
        <v>25</v>
      </c>
      <c r="F57" s="31" t="s">
        <v>25</v>
      </c>
      <c r="G57" s="31" t="s">
        <v>25</v>
      </c>
      <c r="H57" s="31" t="s">
        <v>25</v>
      </c>
      <c r="I57" s="31" t="s">
        <v>38</v>
      </c>
      <c r="J57" s="31" t="s">
        <v>496</v>
      </c>
      <c r="K57" s="31" t="s">
        <v>497</v>
      </c>
      <c r="L57" s="31" t="s">
        <v>70</v>
      </c>
      <c r="M57" s="31">
        <v>2021</v>
      </c>
      <c r="N57" s="31">
        <v>0</v>
      </c>
      <c r="O57" s="31">
        <v>165.21</v>
      </c>
      <c r="P57" s="31"/>
    </row>
    <row r="58" spans="1:16" ht="11.25" customHeight="1" x14ac:dyDescent="0.25">
      <c r="A58" s="31">
        <v>57</v>
      </c>
      <c r="B58" s="31" t="s">
        <v>379</v>
      </c>
      <c r="C58" s="31" t="s">
        <v>22</v>
      </c>
      <c r="D58" s="31" t="s">
        <v>86</v>
      </c>
      <c r="E58" s="31" t="s">
        <v>24</v>
      </c>
      <c r="F58" s="31" t="s">
        <v>30</v>
      </c>
      <c r="G58" s="31" t="s">
        <v>25</v>
      </c>
      <c r="H58" s="31" t="s">
        <v>25</v>
      </c>
      <c r="I58" s="31" t="s">
        <v>25</v>
      </c>
      <c r="J58" s="31" t="s">
        <v>496</v>
      </c>
      <c r="K58" s="31" t="s">
        <v>497</v>
      </c>
      <c r="L58" s="31" t="s">
        <v>70</v>
      </c>
      <c r="M58" s="31">
        <v>2021</v>
      </c>
      <c r="N58" s="31">
        <v>0</v>
      </c>
      <c r="O58" s="31">
        <v>99.12</v>
      </c>
      <c r="P58" s="31"/>
    </row>
    <row r="59" spans="1:16" ht="11.25" customHeight="1" x14ac:dyDescent="0.25">
      <c r="A59" s="31">
        <v>58</v>
      </c>
      <c r="B59" s="31" t="s">
        <v>379</v>
      </c>
      <c r="C59" s="31" t="s">
        <v>40</v>
      </c>
      <c r="D59" s="31" t="s">
        <v>84</v>
      </c>
      <c r="E59" s="31" t="s">
        <v>41</v>
      </c>
      <c r="F59" s="31" t="s">
        <v>89</v>
      </c>
      <c r="G59" s="31" t="s">
        <v>25</v>
      </c>
      <c r="H59" s="31" t="s">
        <v>25</v>
      </c>
      <c r="I59" s="31" t="s">
        <v>25</v>
      </c>
      <c r="J59" s="31" t="s">
        <v>496</v>
      </c>
      <c r="K59" s="31" t="s">
        <v>497</v>
      </c>
      <c r="L59" s="31" t="s">
        <v>70</v>
      </c>
      <c r="M59" s="31">
        <v>2021</v>
      </c>
      <c r="N59" s="31">
        <v>0</v>
      </c>
      <c r="O59" s="31">
        <v>138.77000000000001</v>
      </c>
      <c r="P59" s="31"/>
    </row>
    <row r="60" spans="1:16" ht="11.25" customHeight="1" x14ac:dyDescent="0.25">
      <c r="A60" s="31">
        <v>59</v>
      </c>
      <c r="B60" s="31" t="s">
        <v>379</v>
      </c>
      <c r="C60" s="31" t="s">
        <v>22</v>
      </c>
      <c r="D60" s="31" t="s">
        <v>86</v>
      </c>
      <c r="E60" s="31" t="s">
        <v>24</v>
      </c>
      <c r="F60" s="31" t="s">
        <v>24</v>
      </c>
      <c r="G60" s="31" t="s">
        <v>25</v>
      </c>
      <c r="H60" s="31" t="s">
        <v>25</v>
      </c>
      <c r="I60" s="31" t="s">
        <v>25</v>
      </c>
      <c r="J60" s="31" t="s">
        <v>496</v>
      </c>
      <c r="K60" s="31" t="s">
        <v>497</v>
      </c>
      <c r="L60" s="31" t="s">
        <v>70</v>
      </c>
      <c r="M60" s="31">
        <v>2021</v>
      </c>
      <c r="N60" s="31">
        <v>0</v>
      </c>
      <c r="O60" s="31">
        <v>165.21</v>
      </c>
      <c r="P60" s="31"/>
    </row>
    <row r="61" spans="1:16" ht="11.25" customHeight="1" x14ac:dyDescent="0.25">
      <c r="A61" s="31">
        <v>60</v>
      </c>
      <c r="B61" s="31" t="s">
        <v>379</v>
      </c>
      <c r="C61" s="31" t="s">
        <v>40</v>
      </c>
      <c r="D61" s="31" t="s">
        <v>69</v>
      </c>
      <c r="E61" s="31" t="s">
        <v>41</v>
      </c>
      <c r="F61" s="31" t="s">
        <v>89</v>
      </c>
      <c r="G61" s="31" t="s">
        <v>25</v>
      </c>
      <c r="H61" s="31" t="s">
        <v>25</v>
      </c>
      <c r="I61" s="31" t="s">
        <v>37</v>
      </c>
      <c r="J61" s="31" t="s">
        <v>496</v>
      </c>
      <c r="K61" s="31" t="s">
        <v>497</v>
      </c>
      <c r="L61" s="31" t="s">
        <v>70</v>
      </c>
      <c r="M61" s="31">
        <v>2021</v>
      </c>
      <c r="N61" s="31">
        <v>0</v>
      </c>
      <c r="O61" s="31">
        <v>138.77000000000001</v>
      </c>
      <c r="P61" s="31"/>
    </row>
    <row r="62" spans="1:16" ht="11.25" customHeight="1" x14ac:dyDescent="0.25">
      <c r="A62" s="31">
        <v>61</v>
      </c>
      <c r="B62" s="31" t="s">
        <v>379</v>
      </c>
      <c r="C62" s="31" t="s">
        <v>22</v>
      </c>
      <c r="D62" s="31" t="s">
        <v>69</v>
      </c>
      <c r="E62" s="31" t="s">
        <v>24</v>
      </c>
      <c r="F62" s="31" t="s">
        <v>24</v>
      </c>
      <c r="G62" s="31" t="s">
        <v>25</v>
      </c>
      <c r="H62" s="31" t="s">
        <v>25</v>
      </c>
      <c r="I62" s="31" t="s">
        <v>498</v>
      </c>
      <c r="J62" s="31" t="s">
        <v>496</v>
      </c>
      <c r="K62" s="31" t="s">
        <v>497</v>
      </c>
      <c r="L62" s="31" t="s">
        <v>70</v>
      </c>
      <c r="M62" s="31">
        <v>2021</v>
      </c>
      <c r="N62" s="31">
        <v>0</v>
      </c>
      <c r="O62" s="31">
        <v>165.21</v>
      </c>
      <c r="P62" s="31"/>
    </row>
    <row r="63" spans="1:16" ht="11.25" customHeight="1" x14ac:dyDescent="0.25">
      <c r="A63" s="31">
        <v>62</v>
      </c>
      <c r="B63" s="31" t="s">
        <v>379</v>
      </c>
      <c r="C63" s="31" t="s">
        <v>40</v>
      </c>
      <c r="D63" s="31" t="s">
        <v>69</v>
      </c>
      <c r="E63" s="31" t="s">
        <v>41</v>
      </c>
      <c r="F63" s="31" t="s">
        <v>25</v>
      </c>
      <c r="G63" s="31" t="s">
        <v>25</v>
      </c>
      <c r="H63" s="31" t="s">
        <v>25</v>
      </c>
      <c r="I63" s="31" t="s">
        <v>37</v>
      </c>
      <c r="J63" s="31" t="s">
        <v>496</v>
      </c>
      <c r="K63" s="31" t="s">
        <v>497</v>
      </c>
      <c r="L63" s="31" t="s">
        <v>70</v>
      </c>
      <c r="M63" s="31">
        <v>2021</v>
      </c>
      <c r="N63" s="31">
        <v>0</v>
      </c>
      <c r="O63" s="31">
        <v>145.38</v>
      </c>
      <c r="P63" s="31"/>
    </row>
    <row r="64" spans="1:16" ht="11.25" customHeight="1" x14ac:dyDescent="0.25">
      <c r="A64" s="31">
        <v>63</v>
      </c>
      <c r="B64" s="31" t="s">
        <v>379</v>
      </c>
      <c r="C64" s="31" t="s">
        <v>40</v>
      </c>
      <c r="D64" s="31" t="s">
        <v>86</v>
      </c>
      <c r="E64" s="31" t="s">
        <v>41</v>
      </c>
      <c r="F64" s="31" t="s">
        <v>88</v>
      </c>
      <c r="G64" s="31" t="s">
        <v>25</v>
      </c>
      <c r="H64" s="31" t="s">
        <v>25</v>
      </c>
      <c r="I64" s="31" t="s">
        <v>25</v>
      </c>
      <c r="J64" s="31" t="s">
        <v>496</v>
      </c>
      <c r="K64" s="31" t="s">
        <v>497</v>
      </c>
      <c r="L64" s="31" t="s">
        <v>70</v>
      </c>
      <c r="M64" s="31">
        <v>2021</v>
      </c>
      <c r="N64" s="31">
        <v>0</v>
      </c>
      <c r="O64" s="31">
        <v>145.38</v>
      </c>
      <c r="P64" s="31"/>
    </row>
    <row r="65" spans="1:16" ht="11.25" customHeight="1" x14ac:dyDescent="0.25">
      <c r="A65" s="31">
        <v>64</v>
      </c>
      <c r="B65" s="31" t="s">
        <v>379</v>
      </c>
      <c r="C65" s="31" t="s">
        <v>22</v>
      </c>
      <c r="D65" s="31" t="s">
        <v>84</v>
      </c>
      <c r="E65" s="31" t="s">
        <v>24</v>
      </c>
      <c r="F65" s="31" t="s">
        <v>31</v>
      </c>
      <c r="G65" s="31" t="s">
        <v>25</v>
      </c>
      <c r="H65" s="31" t="s">
        <v>25</v>
      </c>
      <c r="I65" s="31" t="s">
        <v>25</v>
      </c>
      <c r="J65" s="31" t="s">
        <v>496</v>
      </c>
      <c r="K65" s="31" t="s">
        <v>497</v>
      </c>
      <c r="L65" s="31" t="s">
        <v>70</v>
      </c>
      <c r="M65" s="31">
        <v>2021</v>
      </c>
      <c r="N65" s="31">
        <v>0</v>
      </c>
      <c r="O65" s="31">
        <v>148.69</v>
      </c>
      <c r="P65" s="31"/>
    </row>
    <row r="66" spans="1:16" ht="11.25" customHeight="1" x14ac:dyDescent="0.25">
      <c r="A66" s="31">
        <v>65</v>
      </c>
      <c r="B66" s="31" t="s">
        <v>379</v>
      </c>
      <c r="C66" s="31" t="s">
        <v>40</v>
      </c>
      <c r="D66" s="31" t="s">
        <v>69</v>
      </c>
      <c r="E66" s="31" t="s">
        <v>41</v>
      </c>
      <c r="F66" s="31" t="s">
        <v>88</v>
      </c>
      <c r="G66" s="31" t="s">
        <v>25</v>
      </c>
      <c r="H66" s="31" t="s">
        <v>25</v>
      </c>
      <c r="I66" s="31" t="s">
        <v>38</v>
      </c>
      <c r="J66" s="31" t="s">
        <v>496</v>
      </c>
      <c r="K66" s="31" t="s">
        <v>497</v>
      </c>
      <c r="L66" s="31" t="s">
        <v>70</v>
      </c>
      <c r="M66" s="31">
        <v>2021</v>
      </c>
      <c r="N66" s="31">
        <v>0</v>
      </c>
      <c r="O66" s="31">
        <v>145.38</v>
      </c>
      <c r="P66" s="31"/>
    </row>
    <row r="67" spans="1:16" ht="11.25" customHeight="1" x14ac:dyDescent="0.25">
      <c r="A67" s="31">
        <v>66</v>
      </c>
      <c r="B67" s="31" t="s">
        <v>379</v>
      </c>
      <c r="C67" s="31" t="s">
        <v>22</v>
      </c>
      <c r="D67" s="31" t="s">
        <v>86</v>
      </c>
      <c r="E67" s="31" t="s">
        <v>24</v>
      </c>
      <c r="F67" s="31" t="s">
        <v>29</v>
      </c>
      <c r="G67" s="31" t="s">
        <v>25</v>
      </c>
      <c r="H67" s="31" t="s">
        <v>25</v>
      </c>
      <c r="I67" s="31" t="s">
        <v>25</v>
      </c>
      <c r="J67" s="31" t="s">
        <v>496</v>
      </c>
      <c r="K67" s="31" t="s">
        <v>497</v>
      </c>
      <c r="L67" s="31" t="s">
        <v>70</v>
      </c>
      <c r="M67" s="31">
        <v>2021</v>
      </c>
      <c r="N67" s="31">
        <v>0</v>
      </c>
      <c r="O67" s="31">
        <v>57.82</v>
      </c>
      <c r="P67" s="31"/>
    </row>
    <row r="68" spans="1:16" ht="11.25" customHeight="1" x14ac:dyDescent="0.25">
      <c r="A68" s="31">
        <v>67</v>
      </c>
      <c r="B68" s="31" t="s">
        <v>379</v>
      </c>
      <c r="C68" s="31" t="s">
        <v>40</v>
      </c>
      <c r="D68" s="31" t="s">
        <v>69</v>
      </c>
      <c r="E68" s="31" t="s">
        <v>41</v>
      </c>
      <c r="F68" s="31" t="s">
        <v>89</v>
      </c>
      <c r="G68" s="31" t="s">
        <v>25</v>
      </c>
      <c r="H68" s="31" t="s">
        <v>25</v>
      </c>
      <c r="I68" s="31" t="s">
        <v>498</v>
      </c>
      <c r="J68" s="31" t="s">
        <v>496</v>
      </c>
      <c r="K68" s="31" t="s">
        <v>497</v>
      </c>
      <c r="L68" s="31" t="s">
        <v>70</v>
      </c>
      <c r="M68" s="31">
        <v>2021</v>
      </c>
      <c r="N68" s="31">
        <v>0</v>
      </c>
      <c r="O68" s="31">
        <v>138.77000000000001</v>
      </c>
      <c r="P68" s="31"/>
    </row>
    <row r="69" spans="1:16" ht="11.25" customHeight="1" x14ac:dyDescent="0.25">
      <c r="A69" s="31">
        <v>68</v>
      </c>
      <c r="B69" s="31" t="s">
        <v>379</v>
      </c>
      <c r="C69" s="31" t="s">
        <v>22</v>
      </c>
      <c r="D69" s="31" t="s">
        <v>84</v>
      </c>
      <c r="E69" s="31" t="s">
        <v>24</v>
      </c>
      <c r="F69" s="31" t="s">
        <v>30</v>
      </c>
      <c r="G69" s="31" t="s">
        <v>25</v>
      </c>
      <c r="H69" s="31" t="s">
        <v>25</v>
      </c>
      <c r="I69" s="31" t="s">
        <v>25</v>
      </c>
      <c r="J69" s="31" t="s">
        <v>496</v>
      </c>
      <c r="K69" s="31" t="s">
        <v>497</v>
      </c>
      <c r="L69" s="31" t="s">
        <v>70</v>
      </c>
      <c r="M69" s="31">
        <v>2021</v>
      </c>
      <c r="N69" s="31">
        <v>0</v>
      </c>
      <c r="O69" s="31">
        <v>99.12</v>
      </c>
      <c r="P69" s="31"/>
    </row>
    <row r="70" spans="1:16" ht="11.25" customHeight="1" x14ac:dyDescent="0.25">
      <c r="A70" s="31">
        <v>69</v>
      </c>
      <c r="B70" s="31" t="s">
        <v>351</v>
      </c>
      <c r="C70" s="31" t="s">
        <v>40</v>
      </c>
      <c r="D70" s="31" t="s">
        <v>85</v>
      </c>
      <c r="E70" s="31" t="s">
        <v>41</v>
      </c>
      <c r="F70" s="31" t="s">
        <v>25</v>
      </c>
      <c r="G70" s="31" t="s">
        <v>25</v>
      </c>
      <c r="H70" s="31" t="s">
        <v>25</v>
      </c>
      <c r="I70" s="31" t="s">
        <v>38</v>
      </c>
      <c r="J70" s="31" t="s">
        <v>496</v>
      </c>
      <c r="K70" s="31" t="s">
        <v>497</v>
      </c>
      <c r="L70" s="31" t="s">
        <v>70</v>
      </c>
      <c r="M70" s="31">
        <v>2021</v>
      </c>
      <c r="N70" s="31">
        <v>0</v>
      </c>
      <c r="O70" s="31">
        <v>287.70999999999998</v>
      </c>
      <c r="P70" s="31">
        <v>51.779879318989302</v>
      </c>
    </row>
    <row r="71" spans="1:16" ht="11.25" customHeight="1" x14ac:dyDescent="0.25">
      <c r="A71" s="31">
        <v>70</v>
      </c>
      <c r="B71" s="31" t="s">
        <v>379</v>
      </c>
      <c r="C71" s="31" t="s">
        <v>40</v>
      </c>
      <c r="D71" s="31" t="s">
        <v>86</v>
      </c>
      <c r="E71" s="31" t="s">
        <v>41</v>
      </c>
      <c r="F71" s="31" t="s">
        <v>89</v>
      </c>
      <c r="G71" s="31" t="s">
        <v>25</v>
      </c>
      <c r="H71" s="31" t="s">
        <v>25</v>
      </c>
      <c r="I71" s="31" t="s">
        <v>25</v>
      </c>
      <c r="J71" s="31" t="s">
        <v>496</v>
      </c>
      <c r="K71" s="31" t="s">
        <v>497</v>
      </c>
      <c r="L71" s="31" t="s">
        <v>70</v>
      </c>
      <c r="M71" s="31">
        <v>2021</v>
      </c>
      <c r="N71" s="31">
        <v>0</v>
      </c>
      <c r="O71" s="31">
        <v>138.77000000000001</v>
      </c>
      <c r="P71" s="31"/>
    </row>
    <row r="72" spans="1:16" ht="11.25" customHeight="1" x14ac:dyDescent="0.25">
      <c r="A72" s="31">
        <v>71</v>
      </c>
      <c r="B72" s="31" t="s">
        <v>379</v>
      </c>
      <c r="C72" s="31" t="s">
        <v>40</v>
      </c>
      <c r="D72" s="31" t="s">
        <v>69</v>
      </c>
      <c r="E72" s="31" t="s">
        <v>41</v>
      </c>
      <c r="F72" s="31" t="s">
        <v>89</v>
      </c>
      <c r="G72" s="31" t="s">
        <v>25</v>
      </c>
      <c r="H72" s="31" t="s">
        <v>25</v>
      </c>
      <c r="I72" s="31" t="s">
        <v>38</v>
      </c>
      <c r="J72" s="31" t="s">
        <v>496</v>
      </c>
      <c r="K72" s="31" t="s">
        <v>497</v>
      </c>
      <c r="L72" s="31" t="s">
        <v>70</v>
      </c>
      <c r="M72" s="31">
        <v>2021</v>
      </c>
      <c r="N72" s="31">
        <v>0</v>
      </c>
      <c r="O72" s="31">
        <v>138.77000000000001</v>
      </c>
      <c r="P72" s="31"/>
    </row>
    <row r="73" spans="1:16" ht="11.25" customHeight="1" x14ac:dyDescent="0.25">
      <c r="A73" s="31">
        <v>72</v>
      </c>
      <c r="B73" s="31" t="s">
        <v>379</v>
      </c>
      <c r="C73" s="31" t="s">
        <v>22</v>
      </c>
      <c r="D73" s="31" t="s">
        <v>69</v>
      </c>
      <c r="E73" s="31" t="s">
        <v>24</v>
      </c>
      <c r="F73" s="31" t="s">
        <v>24</v>
      </c>
      <c r="G73" s="31" t="s">
        <v>25</v>
      </c>
      <c r="H73" s="31" t="s">
        <v>25</v>
      </c>
      <c r="I73" s="31" t="s">
        <v>38</v>
      </c>
      <c r="J73" s="31" t="s">
        <v>496</v>
      </c>
      <c r="K73" s="31" t="s">
        <v>497</v>
      </c>
      <c r="L73" s="31" t="s">
        <v>70</v>
      </c>
      <c r="M73" s="31">
        <v>2021</v>
      </c>
      <c r="N73" s="31">
        <v>0</v>
      </c>
      <c r="O73" s="31">
        <v>165.21</v>
      </c>
      <c r="P73" s="31"/>
    </row>
    <row r="74" spans="1:16" ht="11.25" customHeight="1" x14ac:dyDescent="0.25">
      <c r="A74" s="31">
        <v>73</v>
      </c>
      <c r="B74" s="31" t="s">
        <v>379</v>
      </c>
      <c r="C74" s="31" t="s">
        <v>22</v>
      </c>
      <c r="D74" s="31" t="s">
        <v>86</v>
      </c>
      <c r="E74" s="31" t="s">
        <v>24</v>
      </c>
      <c r="F74" s="31" t="s">
        <v>32</v>
      </c>
      <c r="G74" s="31" t="s">
        <v>25</v>
      </c>
      <c r="H74" s="31" t="s">
        <v>25</v>
      </c>
      <c r="I74" s="31" t="s">
        <v>25</v>
      </c>
      <c r="J74" s="31" t="s">
        <v>496</v>
      </c>
      <c r="K74" s="31" t="s">
        <v>497</v>
      </c>
      <c r="L74" s="31" t="s">
        <v>70</v>
      </c>
      <c r="M74" s="31">
        <v>2021</v>
      </c>
      <c r="N74" s="31">
        <v>0</v>
      </c>
      <c r="O74" s="31">
        <v>165.21</v>
      </c>
      <c r="P74" s="31"/>
    </row>
    <row r="75" spans="1:16" ht="11.25" customHeight="1" x14ac:dyDescent="0.25">
      <c r="A75" s="31">
        <v>74</v>
      </c>
      <c r="B75" s="31" t="s">
        <v>379</v>
      </c>
      <c r="C75" s="31" t="s">
        <v>40</v>
      </c>
      <c r="D75" s="31" t="s">
        <v>86</v>
      </c>
      <c r="E75" s="31" t="s">
        <v>41</v>
      </c>
      <c r="F75" s="31" t="s">
        <v>25</v>
      </c>
      <c r="G75" s="31" t="s">
        <v>25</v>
      </c>
      <c r="H75" s="31" t="s">
        <v>25</v>
      </c>
      <c r="I75" s="31" t="s">
        <v>25</v>
      </c>
      <c r="J75" s="31" t="s">
        <v>496</v>
      </c>
      <c r="K75" s="31" t="s">
        <v>497</v>
      </c>
      <c r="L75" s="31" t="s">
        <v>70</v>
      </c>
      <c r="M75" s="31">
        <v>2021</v>
      </c>
      <c r="N75" s="31">
        <v>0</v>
      </c>
      <c r="O75" s="31">
        <v>145.38</v>
      </c>
      <c r="P75" s="31"/>
    </row>
    <row r="76" spans="1:16" ht="11.25" customHeight="1" x14ac:dyDescent="0.25">
      <c r="A76" s="31">
        <v>75</v>
      </c>
      <c r="B76" s="31" t="s">
        <v>379</v>
      </c>
      <c r="C76" s="31" t="s">
        <v>40</v>
      </c>
      <c r="D76" s="31" t="s">
        <v>69</v>
      </c>
      <c r="E76" s="31" t="s">
        <v>41</v>
      </c>
      <c r="F76" s="31" t="s">
        <v>25</v>
      </c>
      <c r="G76" s="31" t="s">
        <v>25</v>
      </c>
      <c r="H76" s="31" t="s">
        <v>25</v>
      </c>
      <c r="I76" s="31" t="s">
        <v>38</v>
      </c>
      <c r="J76" s="31" t="s">
        <v>496</v>
      </c>
      <c r="K76" s="31" t="s">
        <v>497</v>
      </c>
      <c r="L76" s="31" t="s">
        <v>70</v>
      </c>
      <c r="M76" s="31">
        <v>2021</v>
      </c>
      <c r="N76" s="31">
        <v>0</v>
      </c>
      <c r="O76" s="31">
        <v>145.38</v>
      </c>
      <c r="P76" s="31"/>
    </row>
    <row r="77" spans="1:16" ht="11.25" customHeight="1" x14ac:dyDescent="0.25">
      <c r="A77" s="31">
        <v>76</v>
      </c>
      <c r="B77" s="31" t="s">
        <v>379</v>
      </c>
      <c r="C77" s="31" t="s">
        <v>40</v>
      </c>
      <c r="D77" s="31" t="s">
        <v>84</v>
      </c>
      <c r="E77" s="31" t="s">
        <v>41</v>
      </c>
      <c r="F77" s="31" t="s">
        <v>88</v>
      </c>
      <c r="G77" s="31" t="s">
        <v>25</v>
      </c>
      <c r="H77" s="31" t="s">
        <v>25</v>
      </c>
      <c r="I77" s="31" t="s">
        <v>25</v>
      </c>
      <c r="J77" s="31" t="s">
        <v>496</v>
      </c>
      <c r="K77" s="31" t="s">
        <v>497</v>
      </c>
      <c r="L77" s="31" t="s">
        <v>70</v>
      </c>
      <c r="M77" s="31">
        <v>2021</v>
      </c>
      <c r="N77" s="31">
        <v>0</v>
      </c>
      <c r="O77" s="31">
        <v>145.38</v>
      </c>
      <c r="P77" s="31"/>
    </row>
    <row r="78" spans="1:16" ht="11.25" customHeight="1" x14ac:dyDescent="0.25">
      <c r="A78" s="31">
        <v>77</v>
      </c>
      <c r="B78" s="31" t="s">
        <v>379</v>
      </c>
      <c r="C78" s="31" t="s">
        <v>40</v>
      </c>
      <c r="D78" s="31" t="s">
        <v>69</v>
      </c>
      <c r="E78" s="31" t="s">
        <v>41</v>
      </c>
      <c r="F78" s="31" t="s">
        <v>25</v>
      </c>
      <c r="G78" s="31" t="s">
        <v>25</v>
      </c>
      <c r="H78" s="31" t="s">
        <v>25</v>
      </c>
      <c r="I78" s="31" t="s">
        <v>498</v>
      </c>
      <c r="J78" s="31" t="s">
        <v>496</v>
      </c>
      <c r="K78" s="31" t="s">
        <v>497</v>
      </c>
      <c r="L78" s="31" t="s">
        <v>70</v>
      </c>
      <c r="M78" s="31">
        <v>2021</v>
      </c>
      <c r="N78" s="31">
        <v>0</v>
      </c>
      <c r="O78" s="31">
        <v>145.38</v>
      </c>
      <c r="P78" s="31"/>
    </row>
    <row r="79" spans="1:16" ht="11.25" customHeight="1" x14ac:dyDescent="0.25">
      <c r="A79" s="31">
        <v>78</v>
      </c>
      <c r="B79" s="31" t="s">
        <v>379</v>
      </c>
      <c r="C79" s="31" t="s">
        <v>40</v>
      </c>
      <c r="D79" s="31" t="s">
        <v>69</v>
      </c>
      <c r="E79" s="31" t="s">
        <v>41</v>
      </c>
      <c r="F79" s="31" t="s">
        <v>88</v>
      </c>
      <c r="G79" s="31" t="s">
        <v>25</v>
      </c>
      <c r="H79" s="31" t="s">
        <v>25</v>
      </c>
      <c r="I79" s="31" t="s">
        <v>37</v>
      </c>
      <c r="J79" s="31" t="s">
        <v>496</v>
      </c>
      <c r="K79" s="31" t="s">
        <v>497</v>
      </c>
      <c r="L79" s="31" t="s">
        <v>70</v>
      </c>
      <c r="M79" s="31">
        <v>2021</v>
      </c>
      <c r="N79" s="31">
        <v>0</v>
      </c>
      <c r="O79" s="31">
        <v>145.38</v>
      </c>
      <c r="P79" s="31"/>
    </row>
    <row r="80" spans="1:16" ht="11.25" customHeight="1" x14ac:dyDescent="0.25">
      <c r="A80" s="31">
        <v>79</v>
      </c>
      <c r="B80" s="31" t="s">
        <v>379</v>
      </c>
      <c r="C80" s="31" t="s">
        <v>22</v>
      </c>
      <c r="D80" s="31" t="s">
        <v>86</v>
      </c>
      <c r="E80" s="31" t="s">
        <v>24</v>
      </c>
      <c r="F80" s="31" t="s">
        <v>31</v>
      </c>
      <c r="G80" s="31" t="s">
        <v>25</v>
      </c>
      <c r="H80" s="31" t="s">
        <v>25</v>
      </c>
      <c r="I80" s="31" t="s">
        <v>25</v>
      </c>
      <c r="J80" s="31" t="s">
        <v>496</v>
      </c>
      <c r="K80" s="31" t="s">
        <v>497</v>
      </c>
      <c r="L80" s="31" t="s">
        <v>70</v>
      </c>
      <c r="M80" s="31">
        <v>2021</v>
      </c>
      <c r="N80" s="31">
        <v>0</v>
      </c>
      <c r="O80" s="31">
        <v>148.69</v>
      </c>
      <c r="P80" s="31"/>
    </row>
    <row r="81" spans="1:16" ht="11.25" customHeight="1" x14ac:dyDescent="0.25">
      <c r="A81" s="31">
        <v>80</v>
      </c>
      <c r="B81" s="31" t="s">
        <v>379</v>
      </c>
      <c r="C81" s="31" t="s">
        <v>22</v>
      </c>
      <c r="D81" s="31" t="s">
        <v>84</v>
      </c>
      <c r="E81" s="31" t="s">
        <v>24</v>
      </c>
      <c r="F81" s="31" t="s">
        <v>32</v>
      </c>
      <c r="G81" s="31" t="s">
        <v>25</v>
      </c>
      <c r="H81" s="31" t="s">
        <v>25</v>
      </c>
      <c r="I81" s="31" t="s">
        <v>25</v>
      </c>
      <c r="J81" s="31" t="s">
        <v>496</v>
      </c>
      <c r="K81" s="31" t="s">
        <v>497</v>
      </c>
      <c r="L81" s="31" t="s">
        <v>70</v>
      </c>
      <c r="M81" s="31">
        <v>2021</v>
      </c>
      <c r="N81" s="31">
        <v>0</v>
      </c>
      <c r="O81" s="31">
        <v>165.21</v>
      </c>
      <c r="P81" s="31"/>
    </row>
    <row r="82" spans="1:16" ht="11.25" customHeight="1" x14ac:dyDescent="0.25">
      <c r="A82" s="31">
        <v>81</v>
      </c>
      <c r="B82" s="31" t="s">
        <v>379</v>
      </c>
      <c r="C82" s="31" t="s">
        <v>33</v>
      </c>
      <c r="D82" s="31" t="s">
        <v>69</v>
      </c>
      <c r="E82" s="31" t="s">
        <v>25</v>
      </c>
      <c r="F82" s="31" t="s">
        <v>25</v>
      </c>
      <c r="G82" s="31" t="s">
        <v>25</v>
      </c>
      <c r="H82" s="31" t="s">
        <v>25</v>
      </c>
      <c r="I82" s="31" t="s">
        <v>498</v>
      </c>
      <c r="J82" s="31" t="s">
        <v>496</v>
      </c>
      <c r="K82" s="31" t="s">
        <v>497</v>
      </c>
      <c r="L82" s="31" t="s">
        <v>70</v>
      </c>
      <c r="M82" s="31">
        <v>2021</v>
      </c>
      <c r="N82" s="31">
        <v>0</v>
      </c>
      <c r="O82" s="31">
        <v>165.21</v>
      </c>
      <c r="P82" s="31"/>
    </row>
    <row r="83" spans="1:16" ht="11.25" customHeight="1" x14ac:dyDescent="0.25">
      <c r="A83" s="31">
        <v>82</v>
      </c>
      <c r="B83" s="31" t="s">
        <v>379</v>
      </c>
      <c r="C83" s="31" t="s">
        <v>33</v>
      </c>
      <c r="D83" s="31" t="s">
        <v>69</v>
      </c>
      <c r="E83" s="31" t="s">
        <v>25</v>
      </c>
      <c r="F83" s="31" t="s">
        <v>25</v>
      </c>
      <c r="G83" s="31" t="s">
        <v>25</v>
      </c>
      <c r="H83" s="31" t="s">
        <v>25</v>
      </c>
      <c r="I83" s="31" t="s">
        <v>38</v>
      </c>
      <c r="J83" s="31" t="s">
        <v>496</v>
      </c>
      <c r="K83" s="31" t="s">
        <v>497</v>
      </c>
      <c r="L83" s="31" t="s">
        <v>70</v>
      </c>
      <c r="M83" s="31">
        <v>2021</v>
      </c>
      <c r="N83" s="31">
        <v>0</v>
      </c>
      <c r="O83" s="31">
        <v>165.21</v>
      </c>
      <c r="P83" s="31"/>
    </row>
    <row r="84" spans="1:16" ht="11.25" customHeight="1" x14ac:dyDescent="0.25">
      <c r="A84" s="31">
        <v>83</v>
      </c>
      <c r="B84" s="31" t="s">
        <v>379</v>
      </c>
      <c r="C84" s="31" t="s">
        <v>33</v>
      </c>
      <c r="D84" s="31" t="s">
        <v>84</v>
      </c>
      <c r="E84" s="31" t="s">
        <v>25</v>
      </c>
      <c r="F84" s="31" t="s">
        <v>25</v>
      </c>
      <c r="G84" s="31" t="s">
        <v>25</v>
      </c>
      <c r="H84" s="31" t="s">
        <v>25</v>
      </c>
      <c r="I84" s="31" t="s">
        <v>25</v>
      </c>
      <c r="J84" s="31" t="s">
        <v>496</v>
      </c>
      <c r="K84" s="31" t="s">
        <v>497</v>
      </c>
      <c r="L84" s="31" t="s">
        <v>70</v>
      </c>
      <c r="M84" s="31">
        <v>2021</v>
      </c>
      <c r="N84" s="31">
        <v>0</v>
      </c>
      <c r="O84" s="31">
        <v>165.21</v>
      </c>
      <c r="P84" s="31"/>
    </row>
    <row r="85" spans="1:16" ht="11.25" customHeight="1" x14ac:dyDescent="0.25">
      <c r="A85" s="31">
        <v>84</v>
      </c>
      <c r="B85" s="31" t="s">
        <v>379</v>
      </c>
      <c r="C85" s="31" t="s">
        <v>33</v>
      </c>
      <c r="D85" s="31" t="s">
        <v>86</v>
      </c>
      <c r="E85" s="31" t="s">
        <v>25</v>
      </c>
      <c r="F85" s="31" t="s">
        <v>25</v>
      </c>
      <c r="G85" s="31" t="s">
        <v>25</v>
      </c>
      <c r="H85" s="31" t="s">
        <v>25</v>
      </c>
      <c r="I85" s="31" t="s">
        <v>25</v>
      </c>
      <c r="J85" s="31" t="s">
        <v>496</v>
      </c>
      <c r="K85" s="31" t="s">
        <v>497</v>
      </c>
      <c r="L85" s="31" t="s">
        <v>70</v>
      </c>
      <c r="M85" s="31">
        <v>2021</v>
      </c>
      <c r="N85" s="31">
        <v>0</v>
      </c>
      <c r="O85" s="31">
        <v>165.21</v>
      </c>
      <c r="P85" s="31"/>
    </row>
    <row r="86" spans="1:16" ht="11.25" customHeight="1" x14ac:dyDescent="0.25">
      <c r="A86" s="31">
        <v>85</v>
      </c>
      <c r="B86" s="31" t="s">
        <v>379</v>
      </c>
      <c r="C86" s="31" t="s">
        <v>43</v>
      </c>
      <c r="D86" s="31" t="s">
        <v>84</v>
      </c>
      <c r="E86" s="31" t="s">
        <v>44</v>
      </c>
      <c r="F86" s="31" t="s">
        <v>45</v>
      </c>
      <c r="G86" s="31" t="s">
        <v>25</v>
      </c>
      <c r="H86" s="31" t="s">
        <v>25</v>
      </c>
      <c r="I86" s="31" t="s">
        <v>25</v>
      </c>
      <c r="J86" s="31" t="s">
        <v>496</v>
      </c>
      <c r="K86" s="31" t="s">
        <v>497</v>
      </c>
      <c r="L86" s="31" t="s">
        <v>70</v>
      </c>
      <c r="M86" s="31">
        <v>2021</v>
      </c>
      <c r="N86" s="31">
        <v>0</v>
      </c>
      <c r="O86" s="31">
        <v>90.86</v>
      </c>
      <c r="P86" s="31"/>
    </row>
    <row r="87" spans="1:16" ht="11.25" customHeight="1" x14ac:dyDescent="0.25">
      <c r="A87" s="31">
        <v>86</v>
      </c>
      <c r="B87" s="31" t="s">
        <v>379</v>
      </c>
      <c r="C87" s="31" t="s">
        <v>43</v>
      </c>
      <c r="D87" s="31" t="s">
        <v>84</v>
      </c>
      <c r="E87" s="31" t="s">
        <v>44</v>
      </c>
      <c r="F87" s="31" t="s">
        <v>46</v>
      </c>
      <c r="G87" s="31" t="s">
        <v>25</v>
      </c>
      <c r="H87" s="31" t="s">
        <v>25</v>
      </c>
      <c r="I87" s="31" t="s">
        <v>25</v>
      </c>
      <c r="J87" s="31" t="s">
        <v>496</v>
      </c>
      <c r="K87" s="31" t="s">
        <v>497</v>
      </c>
      <c r="L87" s="31" t="s">
        <v>70</v>
      </c>
      <c r="M87" s="31">
        <v>2021</v>
      </c>
      <c r="N87" s="31">
        <v>0</v>
      </c>
      <c r="O87" s="31">
        <v>99.12</v>
      </c>
      <c r="P87" s="31"/>
    </row>
    <row r="88" spans="1:16" ht="11.25" customHeight="1" x14ac:dyDescent="0.25">
      <c r="A88" s="31">
        <v>87</v>
      </c>
      <c r="B88" s="31" t="s">
        <v>379</v>
      </c>
      <c r="C88" s="31" t="s">
        <v>33</v>
      </c>
      <c r="D88" s="31" t="s">
        <v>69</v>
      </c>
      <c r="E88" s="31" t="s">
        <v>25</v>
      </c>
      <c r="F88" s="31" t="s">
        <v>25</v>
      </c>
      <c r="G88" s="31" t="s">
        <v>25</v>
      </c>
      <c r="H88" s="31" t="s">
        <v>25</v>
      </c>
      <c r="I88" s="31" t="s">
        <v>37</v>
      </c>
      <c r="J88" s="31" t="s">
        <v>496</v>
      </c>
      <c r="K88" s="31" t="s">
        <v>497</v>
      </c>
      <c r="L88" s="31" t="s">
        <v>70</v>
      </c>
      <c r="M88" s="31">
        <v>2021</v>
      </c>
      <c r="N88" s="31">
        <v>0</v>
      </c>
      <c r="O88" s="31">
        <v>165.21</v>
      </c>
      <c r="P88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2624-0178-4A7C-BFAD-2AA158E5B03D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60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68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4" t="s">
        <v>35</v>
      </c>
      <c r="B2" s="74" t="s">
        <v>73</v>
      </c>
      <c r="C2" s="74" t="s">
        <v>25</v>
      </c>
      <c r="D2" s="74" t="s">
        <v>25</v>
      </c>
      <c r="E2" s="74" t="s">
        <v>25</v>
      </c>
      <c r="F2" s="74" t="s">
        <v>25</v>
      </c>
      <c r="G2" s="13" t="s">
        <v>75</v>
      </c>
      <c r="H2" s="13" t="s">
        <v>74</v>
      </c>
      <c r="I2" s="13">
        <f>SUMIF(Mercado_Receita!$S$2:$S$345,"44440A4AzulNão se aplicaNão se aplicaNão se aplicaNão se aplicaPonta",Mercado_Receita!$J$2:$J$345)+SUMIF(Mercado_Receita!$S$2:$S$345,"44440A4AzulNão se aplicaNão se aplicaAPENão se aplicaPonta",Mercado_Receita!$J$2:$J$345)</f>
        <v>0</v>
      </c>
      <c r="J2" s="13">
        <f>SUMIF(Mercado_Receita!$S$2:$S$345,"44470A4AzulNão se aplicaNão se aplicaNão se aplicaNão se aplicaPonta",Mercado_Receita!$J$2:$J$345)+SUMIF(Mercado_Receita!$S$2:$S$345,"44470A4AzulNão se aplicaNão se aplicaAPENão se aplicaPonta",Mercado_Receita!$J$2:$J$345)</f>
        <v>0</v>
      </c>
      <c r="K2" s="13">
        <f>SUMIF(Mercado_Receita!$S$2:$S$345,"44501A4AzulNão se aplicaNão se aplicaNão se aplicaNão se aplicaPonta",Mercado_Receita!$J$2:$J$345)+SUMIF(Mercado_Receita!$S$2:$S$345,"44501A4AzulNão se aplicaNão se aplicaAPENão se aplicaPonta",Mercado_Receita!$J$2:$J$345)</f>
        <v>0</v>
      </c>
      <c r="L2" s="13">
        <f>SUMIF(Mercado_Receita!$S$2:$S$345,"44531A4AzulNão se aplicaNão se aplicaNão se aplicaNão se aplicaPonta",Mercado_Receita!$J$2:$J$345)+SUMIF(Mercado_Receita!$S$2:$S$345,"44531A4AzulNão se aplicaNão se aplicaAPENão se aplicaPonta",Mercado_Receita!$J$2:$J$345)</f>
        <v>0</v>
      </c>
      <c r="M2" s="13">
        <f>SUMIF(Mercado_Receita!$S$2:$S$345,"44562A4AzulNão se aplicaNão se aplicaNão se aplicaNão se aplicaPonta",Mercado_Receita!$J$2:$J$345)+SUMIF(Mercado_Receita!$S$2:$S$345,"44562A4AzulNão se aplicaNão se aplicaAPENão se aplicaPonta",Mercado_Receita!$J$2:$J$345)</f>
        <v>0</v>
      </c>
      <c r="N2" s="13">
        <f>SUMIF(Mercado_Receita!$S$2:$S$345,"44593A4AzulNão se aplicaNão se aplicaNão se aplicaNão se aplicaPonta",Mercado_Receita!$J$2:$J$345)+SUMIF(Mercado_Receita!$S$2:$S$345,"44593A4AzulNão se aplicaNão se aplicaAPENão se aplicaPonta",Mercado_Receita!$J$2:$J$345)</f>
        <v>0</v>
      </c>
      <c r="O2" s="13">
        <f>SUMIF(Mercado_Receita!$S$2:$S$345,"44621A4AzulNão se aplicaNão se aplicaNão se aplicaNão se aplicaPonta",Mercado_Receita!$J$2:$J$345)+SUMIF(Mercado_Receita!$S$2:$S$345,"44621A4AzulNão se aplicaNão se aplicaAPENão se aplicaPonta",Mercado_Receita!$J$2:$J$345)</f>
        <v>0</v>
      </c>
      <c r="P2" s="13">
        <f>SUMIF(Mercado_Receita!$S$2:$S$345,"44652A4AzulNão se aplicaNão se aplicaNão se aplicaNão se aplicaPonta",Mercado_Receita!$J$2:$J$345)+SUMIF(Mercado_Receita!$S$2:$S$345,"44652A4AzulNão se aplicaNão se aplicaAPENão se aplicaPonta",Mercado_Receita!$J$2:$J$345)</f>
        <v>0</v>
      </c>
      <c r="Q2" s="13">
        <f>SUMIF(Mercado_Receita!$S$2:$S$345,"44682A4AzulNão se aplicaNão se aplicaNão se aplicaNão se aplicaPonta",Mercado_Receita!$J$2:$J$345)+SUMIF(Mercado_Receita!$S$2:$S$345,"44682A4AzulNão se aplicaNão se aplicaAPENão se aplicaPonta",Mercado_Receita!$J$2:$J$345)</f>
        <v>0</v>
      </c>
      <c r="R2" s="13">
        <f>SUMIF(Mercado_Receita!$S$2:$S$345,"44713A4AzulNão se aplicaNão se aplicaNão se aplicaNão se aplicaPonta",Mercado_Receita!$J$2:$J$345)+SUMIF(Mercado_Receita!$S$2:$S$345,"44713A4AzulNão se aplicaNão se aplicaAPENão se aplicaPonta",Mercado_Receita!$J$2:$J$345)</f>
        <v>0</v>
      </c>
      <c r="S2" s="13">
        <f>SUMIF(Mercado_Receita!$S$2:$S$345,"44743A4AzulNão se aplicaNão se aplicaNão se aplicaNão se aplicaPonta",Mercado_Receita!$J$2:$J$345)+SUMIF(Mercado_Receita!$S$2:$S$345,"44743A4AzulNão se aplicaNão se aplicaAPENão se aplicaPonta",Mercado_Receita!$J$2:$J$345)</f>
        <v>0</v>
      </c>
      <c r="T2" s="13">
        <f>SUMIF(Mercado_Receita!$S$2:$S$345,"44774A4AzulNão se aplicaNão se aplicaNão se aplicaNão se aplicaPonta",Mercado_Receita!$J$2:$J$345)+SUMIF(Mercado_Receita!$S$2:$S$345,"44774A4AzulNão se aplicaNão se aplicaAPENão se aplicaPonta",Mercado_Receita!$J$2:$J$345)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75"/>
      <c r="B3" s="75"/>
      <c r="C3" s="75"/>
      <c r="D3" s="75"/>
      <c r="E3" s="75"/>
      <c r="F3" s="75"/>
      <c r="G3" s="13" t="s">
        <v>76</v>
      </c>
      <c r="H3" s="13" t="s">
        <v>74</v>
      </c>
      <c r="I3" s="13">
        <f>SUMIF(Mercado_Receita!$S$2:$S$345,"44440A4AzulNão se aplicaNão se aplicaNão se aplicaNão se aplicaFora ponta",Mercado_Receita!$J$2:$J$345)+SUMIF(Mercado_Receita!$S$2:$S$345,"44440A4AzulNão se aplicaNão se aplicaAPENão se aplicaFora ponta",Mercado_Receita!$J$2:$J$345)</f>
        <v>0</v>
      </c>
      <c r="J3" s="13">
        <f>SUMIF(Mercado_Receita!$S$2:$S$345,"44470A4AzulNão se aplicaNão se aplicaNão se aplicaNão se aplicaFora ponta",Mercado_Receita!$J$2:$J$345)+SUMIF(Mercado_Receita!$S$2:$S$345,"44470A4AzulNão se aplicaNão se aplicaAPENão se aplicaFora ponta",Mercado_Receita!$J$2:$J$345)</f>
        <v>0</v>
      </c>
      <c r="K3" s="13">
        <f>SUMIF(Mercado_Receita!$S$2:$S$345,"44501A4AzulNão se aplicaNão se aplicaNão se aplicaNão se aplicaFora ponta",Mercado_Receita!$J$2:$J$345)+SUMIF(Mercado_Receita!$S$2:$S$345,"44501A4AzulNão se aplicaNão se aplicaAPENão se aplicaFora ponta",Mercado_Receita!$J$2:$J$345)</f>
        <v>0</v>
      </c>
      <c r="L3" s="13">
        <f>SUMIF(Mercado_Receita!$S$2:$S$345,"44531A4AzulNão se aplicaNão se aplicaNão se aplicaNão se aplicaFora ponta",Mercado_Receita!$J$2:$J$345)+SUMIF(Mercado_Receita!$S$2:$S$345,"44531A4AzulNão se aplicaNão se aplicaAPENão se aplicaFora ponta",Mercado_Receita!$J$2:$J$345)</f>
        <v>0</v>
      </c>
      <c r="M3" s="13">
        <f>SUMIF(Mercado_Receita!$S$2:$S$345,"44562A4AzulNão se aplicaNão se aplicaNão se aplicaNão se aplicaFora ponta",Mercado_Receita!$J$2:$J$345)+SUMIF(Mercado_Receita!$S$2:$S$345,"44562A4AzulNão se aplicaNão se aplicaAPENão se aplicaFora ponta",Mercado_Receita!$J$2:$J$345)</f>
        <v>0</v>
      </c>
      <c r="N3" s="13">
        <f>SUMIF(Mercado_Receita!$S$2:$S$345,"44593A4AzulNão se aplicaNão se aplicaNão se aplicaNão se aplicaFora ponta",Mercado_Receita!$J$2:$J$345)+SUMIF(Mercado_Receita!$S$2:$S$345,"44593A4AzulNão se aplicaNão se aplicaAPENão se aplicaFora ponta",Mercado_Receita!$J$2:$J$345)</f>
        <v>0</v>
      </c>
      <c r="O3" s="13">
        <f>SUMIF(Mercado_Receita!$S$2:$S$345,"44621A4AzulNão se aplicaNão se aplicaNão se aplicaNão se aplicaFora ponta",Mercado_Receita!$J$2:$J$345)+SUMIF(Mercado_Receita!$S$2:$S$345,"44621A4AzulNão se aplicaNão se aplicaAPENão se aplicaFora ponta",Mercado_Receita!$J$2:$J$345)</f>
        <v>0</v>
      </c>
      <c r="P3" s="13">
        <f>SUMIF(Mercado_Receita!$S$2:$S$345,"44652A4AzulNão se aplicaNão se aplicaNão se aplicaNão se aplicaFora ponta",Mercado_Receita!$J$2:$J$345)+SUMIF(Mercado_Receita!$S$2:$S$345,"44652A4AzulNão se aplicaNão se aplicaAPENão se aplicaFora ponta",Mercado_Receita!$J$2:$J$345)</f>
        <v>0</v>
      </c>
      <c r="Q3" s="13">
        <f>SUMIF(Mercado_Receita!$S$2:$S$345,"44682A4AzulNão se aplicaNão se aplicaNão se aplicaNão se aplicaFora ponta",Mercado_Receita!$J$2:$J$345)+SUMIF(Mercado_Receita!$S$2:$S$345,"44682A4AzulNão se aplicaNão se aplicaAPENão se aplicaFora ponta",Mercado_Receita!$J$2:$J$345)</f>
        <v>0</v>
      </c>
      <c r="R3" s="13">
        <f>SUMIF(Mercado_Receita!$S$2:$S$345,"44713A4AzulNão se aplicaNão se aplicaNão se aplicaNão se aplicaFora ponta",Mercado_Receita!$J$2:$J$345)+SUMIF(Mercado_Receita!$S$2:$S$345,"44713A4AzulNão se aplicaNão se aplicaAPENão se aplicaFora ponta",Mercado_Receita!$J$2:$J$345)</f>
        <v>0</v>
      </c>
      <c r="S3" s="13">
        <f>SUMIF(Mercado_Receita!$S$2:$S$345,"44743A4AzulNão se aplicaNão se aplicaNão se aplicaNão se aplicaFora ponta",Mercado_Receita!$J$2:$J$345)+SUMIF(Mercado_Receita!$S$2:$S$345,"44743A4AzulNão se aplicaNão se aplicaAPENão se aplicaFora ponta",Mercado_Receita!$J$2:$J$345)</f>
        <v>0</v>
      </c>
      <c r="T3" s="13">
        <f>SUMIF(Mercado_Receita!$S$2:$S$345,"44774A4AzulNão se aplicaNão se aplicaNão se aplicaNão se aplicaFora ponta",Mercado_Receita!$J$2:$J$345)+SUMIF(Mercado_Receita!$S$2:$S$345,"44774A4AzulNão se aplicaNão se aplicaAPENão se aplicaFora ponta",Mercado_Receita!$J$2:$J$345)</f>
        <v>0</v>
      </c>
      <c r="U3" s="13">
        <f t="shared" si="0"/>
        <v>0</v>
      </c>
      <c r="V3" s="13"/>
      <c r="W3" s="13"/>
    </row>
    <row r="4" spans="1:30" ht="11.25" customHeight="1" x14ac:dyDescent="0.25">
      <c r="A4" s="75"/>
      <c r="B4" s="75"/>
      <c r="C4" s="75"/>
      <c r="D4" s="75"/>
      <c r="E4" s="75"/>
      <c r="F4" s="75"/>
      <c r="G4" s="13" t="s">
        <v>77</v>
      </c>
      <c r="H4" s="13" t="s">
        <v>70</v>
      </c>
      <c r="I4" s="13">
        <f>SUMIF(Mercado_Receita!$S$2:$S$345,"44440A4AzulNão se aplicaNão se aplicaNão se aplicaNão se aplicaPonta",Mercado_Receita!$L$2:$L$345)+SUMIF(Mercado_Receita!$S$2:$S$345,"44440A4AzulNão se aplicaNão se aplicaNão se aplicaNão se aplicaFora ponta",Mercado_Receita!$L$2:$L$345)+SUMIF(Mercado_Receita!$S$2:$S$345,"44440A4AzulNão se aplicaNão se aplicaNão se aplicaNão se aplicaIntermediário",Mercado_Receita!$L$2:$L$345)+SUMIF(Mercado_Receita!$S$2:$S$345,"44440A4AzulNão se aplicaNão se aplicaNão se aplicaNão se aplicaNão se aplica",Mercado_Receita!$L$2:$L$345)</f>
        <v>0</v>
      </c>
      <c r="J4" s="13">
        <f>SUMIF(Mercado_Receita!$S$2:$S$345,"44470A4AzulNão se aplicaNão se aplicaNão se aplicaNão se aplicaPonta",Mercado_Receita!$L$2:$L$345)+SUMIF(Mercado_Receita!$S$2:$S$345,"44470A4AzulNão se aplicaNão se aplicaNão se aplicaNão se aplicaFora ponta",Mercado_Receita!$L$2:$L$345)+SUMIF(Mercado_Receita!$S$2:$S$345,"44470A4AzulNão se aplicaNão se aplicaNão se aplicaNão se aplicaIntermediário",Mercado_Receita!$L$2:$L$345)+SUMIF(Mercado_Receita!$S$2:$S$345,"44470A4AzulNão se aplicaNão se aplicaNão se aplicaNão se aplicaNão se aplica",Mercado_Receita!$L$2:$L$345)</f>
        <v>0</v>
      </c>
      <c r="K4" s="13">
        <f>SUMIF(Mercado_Receita!$S$2:$S$345,"44501A4AzulNão se aplicaNão se aplicaNão se aplicaNão se aplicaPonta",Mercado_Receita!$L$2:$L$345)+SUMIF(Mercado_Receita!$S$2:$S$345,"44501A4AzulNão se aplicaNão se aplicaNão se aplicaNão se aplicaFora ponta",Mercado_Receita!$L$2:$L$345)+SUMIF(Mercado_Receita!$S$2:$S$345,"44501A4AzulNão se aplicaNão se aplicaNão se aplicaNão se aplicaIntermediário",Mercado_Receita!$L$2:$L$345)+SUMIF(Mercado_Receita!$S$2:$S$345,"44501A4AzulNão se aplicaNão se aplicaNão se aplicaNão se aplicaNão se aplica",Mercado_Receita!$L$2:$L$345)</f>
        <v>0</v>
      </c>
      <c r="L4" s="13">
        <f>SUMIF(Mercado_Receita!$S$2:$S$345,"44531A4AzulNão se aplicaNão se aplicaNão se aplicaNão se aplicaPonta",Mercado_Receita!$L$2:$L$345)+SUMIF(Mercado_Receita!$S$2:$S$345,"44531A4AzulNão se aplicaNão se aplicaNão se aplicaNão se aplicaFora ponta",Mercado_Receita!$L$2:$L$345)+SUMIF(Mercado_Receita!$S$2:$S$345,"44531A4AzulNão se aplicaNão se aplicaNão se aplicaNão se aplicaIntermediário",Mercado_Receita!$L$2:$L$345)+SUMIF(Mercado_Receita!$S$2:$S$345,"44531A4AzulNão se aplicaNão se aplicaNão se aplicaNão se aplicaNão se aplica",Mercado_Receita!$L$2:$L$345)</f>
        <v>0</v>
      </c>
      <c r="M4" s="13">
        <f>SUMIF(Mercado_Receita!$S$2:$S$345,"44562A4AzulNão se aplicaNão se aplicaNão se aplicaNão se aplicaPonta",Mercado_Receita!$L$2:$L$345)+SUMIF(Mercado_Receita!$S$2:$S$345,"44562A4AzulNão se aplicaNão se aplicaNão se aplicaNão se aplicaFora ponta",Mercado_Receita!$L$2:$L$345)+SUMIF(Mercado_Receita!$S$2:$S$345,"44562A4AzulNão se aplicaNão se aplicaNão se aplicaNão se aplicaIntermediário",Mercado_Receita!$L$2:$L$345)+SUMIF(Mercado_Receita!$S$2:$S$345,"44562A4AzulNão se aplicaNão se aplicaNão se aplicaNão se aplicaNão se aplica",Mercado_Receita!$L$2:$L$345)</f>
        <v>0</v>
      </c>
      <c r="N4" s="13">
        <f>SUMIF(Mercado_Receita!$S$2:$S$345,"44593A4AzulNão se aplicaNão se aplicaNão se aplicaNão se aplicaPonta",Mercado_Receita!$L$2:$L$345)+SUMIF(Mercado_Receita!$S$2:$S$345,"44593A4AzulNão se aplicaNão se aplicaNão se aplicaNão se aplicaFora ponta",Mercado_Receita!$L$2:$L$345)+SUMIF(Mercado_Receita!$S$2:$S$345,"44593A4AzulNão se aplicaNão se aplicaNão se aplicaNão se aplicaIntermediário",Mercado_Receita!$L$2:$L$345)+SUMIF(Mercado_Receita!$S$2:$S$345,"44593A4AzulNão se aplicaNão se aplicaNão se aplicaNão se aplicaNão se aplica",Mercado_Receita!$L$2:$L$345)</f>
        <v>0</v>
      </c>
      <c r="O4" s="13">
        <f>SUMIF(Mercado_Receita!$S$2:$S$345,"44621A4AzulNão se aplicaNão se aplicaNão se aplicaNão se aplicaPonta",Mercado_Receita!$L$2:$L$345)+SUMIF(Mercado_Receita!$S$2:$S$345,"44621A4AzulNão se aplicaNão se aplicaNão se aplicaNão se aplicaFora ponta",Mercado_Receita!$L$2:$L$345)+SUMIF(Mercado_Receita!$S$2:$S$345,"44621A4AzulNão se aplicaNão se aplicaNão se aplicaNão se aplicaIntermediário",Mercado_Receita!$L$2:$L$345)+SUMIF(Mercado_Receita!$S$2:$S$345,"44621A4AzulNão se aplicaNão se aplicaNão se aplicaNão se aplicaNão se aplica",Mercado_Receita!$L$2:$L$345)</f>
        <v>0</v>
      </c>
      <c r="P4" s="13">
        <f>SUMIF(Mercado_Receita!$S$2:$S$345,"44652A4AzulNão se aplicaNão se aplicaNão se aplicaNão se aplicaPonta",Mercado_Receita!$L$2:$L$345)+SUMIF(Mercado_Receita!$S$2:$S$345,"44652A4AzulNão se aplicaNão se aplicaNão se aplicaNão se aplicaFora ponta",Mercado_Receita!$L$2:$L$345)+SUMIF(Mercado_Receita!$S$2:$S$345,"44652A4AzulNão se aplicaNão se aplicaNão se aplicaNão se aplicaIntermediário",Mercado_Receita!$L$2:$L$345)+SUMIF(Mercado_Receita!$S$2:$S$345,"44652A4AzulNão se aplicaNão se aplicaNão se aplicaNão se aplicaNão se aplica",Mercado_Receita!$L$2:$L$345)</f>
        <v>0</v>
      </c>
      <c r="Q4" s="13">
        <f>SUMIF(Mercado_Receita!$S$2:$S$345,"44682A4AzulNão se aplicaNão se aplicaNão se aplicaNão se aplicaPonta",Mercado_Receita!$L$2:$L$345)+SUMIF(Mercado_Receita!$S$2:$S$345,"44682A4AzulNão se aplicaNão se aplicaNão se aplicaNão se aplicaFora ponta",Mercado_Receita!$L$2:$L$345)+SUMIF(Mercado_Receita!$S$2:$S$345,"44682A4AzulNão se aplicaNão se aplicaNão se aplicaNão se aplicaIntermediário",Mercado_Receita!$L$2:$L$345)+SUMIF(Mercado_Receita!$S$2:$S$345,"44682A4AzulNão se aplicaNão se aplicaNão se aplicaNão se aplicaNão se aplica",Mercado_Receita!$L$2:$L$345)</f>
        <v>0</v>
      </c>
      <c r="R4" s="13">
        <f>SUMIF(Mercado_Receita!$S$2:$S$345,"44713A4AzulNão se aplicaNão se aplicaNão se aplicaNão se aplicaPonta",Mercado_Receita!$L$2:$L$345)+SUMIF(Mercado_Receita!$S$2:$S$345,"44713A4AzulNão se aplicaNão se aplicaNão se aplicaNão se aplicaFora ponta",Mercado_Receita!$L$2:$L$345)+SUMIF(Mercado_Receita!$S$2:$S$345,"44713A4AzulNão se aplicaNão se aplicaNão se aplicaNão se aplicaIntermediário",Mercado_Receita!$L$2:$L$345)+SUMIF(Mercado_Receita!$S$2:$S$345,"44713A4AzulNão se aplicaNão se aplicaNão se aplicaNão se aplicaNão se aplica",Mercado_Receita!$L$2:$L$345)</f>
        <v>0</v>
      </c>
      <c r="S4" s="13">
        <f>SUMIF(Mercado_Receita!$S$2:$S$345,"44743A4AzulNão se aplicaNão se aplicaNão se aplicaNão se aplicaPonta",Mercado_Receita!$L$2:$L$345)+SUMIF(Mercado_Receita!$S$2:$S$345,"44743A4AzulNão se aplicaNão se aplicaNão se aplicaNão se aplicaFora ponta",Mercado_Receita!$L$2:$L$345)+SUMIF(Mercado_Receita!$S$2:$S$345,"44743A4AzulNão se aplicaNão se aplicaNão se aplicaNão se aplicaIntermediário",Mercado_Receita!$L$2:$L$345)+SUMIF(Mercado_Receita!$S$2:$S$345,"44743A4AzulNão se aplicaNão se aplicaNão se aplicaNão se aplicaNão se aplica",Mercado_Receita!$L$2:$L$345)</f>
        <v>0</v>
      </c>
      <c r="T4" s="13">
        <f>SUMIF(Mercado_Receita!$S$2:$S$345,"44774A4AzulNão se aplicaNão se aplicaNão se aplicaNão se aplicaPonta",Mercado_Receita!$L$2:$L$345)+SUMIF(Mercado_Receita!$S$2:$S$345,"44774A4AzulNão se aplicaNão se aplicaNão se aplicaNão se aplicaFora ponta",Mercado_Receita!$L$2:$L$345)+SUMIF(Mercado_Receita!$S$2:$S$345,"44774A4AzulNão se aplicaNão se aplicaNão se aplicaNão se aplicaIntermediário",Mercado_Receita!$L$2:$L$345)+SUMIF(Mercado_Receita!$S$2:$S$345,"44774A4AzulNão se aplicaNão se aplicaNão se aplicaNão se aplicaNão se aplica",Mercado_Receita!$L$2:$L$345)</f>
        <v>0</v>
      </c>
      <c r="U4" s="13">
        <f t="shared" si="0"/>
        <v>0</v>
      </c>
      <c r="V4" s="13"/>
      <c r="W4" s="13"/>
    </row>
    <row r="5" spans="1:30" ht="11.25" customHeight="1" x14ac:dyDescent="0.25">
      <c r="A5" s="75"/>
      <c r="B5" s="75"/>
      <c r="C5" s="75"/>
      <c r="D5" s="75"/>
      <c r="E5" s="12" t="s">
        <v>78</v>
      </c>
      <c r="F5" s="12" t="s">
        <v>25</v>
      </c>
      <c r="G5" s="13" t="s">
        <v>77</v>
      </c>
      <c r="H5" s="13" t="s">
        <v>70</v>
      </c>
      <c r="I5" s="13">
        <f>SUMIF(Mercado_Receita!$S$2:$S$345,"44440A4AzulNão se aplicaNão se aplicaAPENão se aplicaPonta",Mercado_Receita!$L$2:$L$345)+SUMIF(Mercado_Receita!$S$2:$S$345,"44440A4AzulNão se aplicaNão se aplicaAPENão se aplicaFora ponta",Mercado_Receita!$L$2:$L$345)+SUMIF(Mercado_Receita!$S$2:$S$345,"44440A4AzulNão se aplicaNão se aplicaAPENão se aplicaIntermediário",Mercado_Receita!$L$2:$L$345)+SUMIF(Mercado_Receita!$S$2:$S$345,"44440A4AzulNão se aplicaNão se aplicaAPENão se aplicaNão se aplica",Mercado_Receita!$L$2:$L$345)</f>
        <v>0</v>
      </c>
      <c r="J5" s="13">
        <f>SUMIF(Mercado_Receita!$S$2:$S$345,"44470A4AzulNão se aplicaNão se aplicaAPENão se aplicaPonta",Mercado_Receita!$L$2:$L$345)+SUMIF(Mercado_Receita!$S$2:$S$345,"44470A4AzulNão se aplicaNão se aplicaAPENão se aplicaFora ponta",Mercado_Receita!$L$2:$L$345)+SUMIF(Mercado_Receita!$S$2:$S$345,"44470A4AzulNão se aplicaNão se aplicaAPENão se aplicaIntermediário",Mercado_Receita!$L$2:$L$345)+SUMIF(Mercado_Receita!$S$2:$S$345,"44470A4AzulNão se aplicaNão se aplicaAPENão se aplicaNão se aplica",Mercado_Receita!$L$2:$L$345)</f>
        <v>0</v>
      </c>
      <c r="K5" s="13">
        <f>SUMIF(Mercado_Receita!$S$2:$S$345,"44501A4AzulNão se aplicaNão se aplicaAPENão se aplicaPonta",Mercado_Receita!$L$2:$L$345)+SUMIF(Mercado_Receita!$S$2:$S$345,"44501A4AzulNão se aplicaNão se aplicaAPENão se aplicaFora ponta",Mercado_Receita!$L$2:$L$345)+SUMIF(Mercado_Receita!$S$2:$S$345,"44501A4AzulNão se aplicaNão se aplicaAPENão se aplicaIntermediário",Mercado_Receita!$L$2:$L$345)+SUMIF(Mercado_Receita!$S$2:$S$345,"44501A4AzulNão se aplicaNão se aplicaAPENão se aplicaNão se aplica",Mercado_Receita!$L$2:$L$345)</f>
        <v>0</v>
      </c>
      <c r="L5" s="13">
        <f>SUMIF(Mercado_Receita!$S$2:$S$345,"44531A4AzulNão se aplicaNão se aplicaAPENão se aplicaPonta",Mercado_Receita!$L$2:$L$345)+SUMIF(Mercado_Receita!$S$2:$S$345,"44531A4AzulNão se aplicaNão se aplicaAPENão se aplicaFora ponta",Mercado_Receita!$L$2:$L$345)+SUMIF(Mercado_Receita!$S$2:$S$345,"44531A4AzulNão se aplicaNão se aplicaAPENão se aplicaIntermediário",Mercado_Receita!$L$2:$L$345)+SUMIF(Mercado_Receita!$S$2:$S$345,"44531A4AzulNão se aplicaNão se aplicaAPENão se aplicaNão se aplica",Mercado_Receita!$L$2:$L$345)</f>
        <v>0</v>
      </c>
      <c r="M5" s="13">
        <f>SUMIF(Mercado_Receita!$S$2:$S$345,"44562A4AzulNão se aplicaNão se aplicaAPENão se aplicaPonta",Mercado_Receita!$L$2:$L$345)+SUMIF(Mercado_Receita!$S$2:$S$345,"44562A4AzulNão se aplicaNão se aplicaAPENão se aplicaFora ponta",Mercado_Receita!$L$2:$L$345)+SUMIF(Mercado_Receita!$S$2:$S$345,"44562A4AzulNão se aplicaNão se aplicaAPENão se aplicaIntermediário",Mercado_Receita!$L$2:$L$345)+SUMIF(Mercado_Receita!$S$2:$S$345,"44562A4AzulNão se aplicaNão se aplicaAPENão se aplicaNão se aplica",Mercado_Receita!$L$2:$L$345)</f>
        <v>0</v>
      </c>
      <c r="N5" s="13">
        <f>SUMIF(Mercado_Receita!$S$2:$S$345,"44593A4AzulNão se aplicaNão se aplicaAPENão se aplicaPonta",Mercado_Receita!$L$2:$L$345)+SUMIF(Mercado_Receita!$S$2:$S$345,"44593A4AzulNão se aplicaNão se aplicaAPENão se aplicaFora ponta",Mercado_Receita!$L$2:$L$345)+SUMIF(Mercado_Receita!$S$2:$S$345,"44593A4AzulNão se aplicaNão se aplicaAPENão se aplicaIntermediário",Mercado_Receita!$L$2:$L$345)+SUMIF(Mercado_Receita!$S$2:$S$345,"44593A4AzulNão se aplicaNão se aplicaAPENão se aplicaNão se aplica",Mercado_Receita!$L$2:$L$345)</f>
        <v>0</v>
      </c>
      <c r="O5" s="13">
        <f>SUMIF(Mercado_Receita!$S$2:$S$345,"44621A4AzulNão se aplicaNão se aplicaAPENão se aplicaPonta",Mercado_Receita!$L$2:$L$345)+SUMIF(Mercado_Receita!$S$2:$S$345,"44621A4AzulNão se aplicaNão se aplicaAPENão se aplicaFora ponta",Mercado_Receita!$L$2:$L$345)+SUMIF(Mercado_Receita!$S$2:$S$345,"44621A4AzulNão se aplicaNão se aplicaAPENão se aplicaIntermediário",Mercado_Receita!$L$2:$L$345)+SUMIF(Mercado_Receita!$S$2:$S$345,"44621A4AzulNão se aplicaNão se aplicaAPENão se aplicaNão se aplica",Mercado_Receita!$L$2:$L$345)</f>
        <v>0</v>
      </c>
      <c r="P5" s="13">
        <f>SUMIF(Mercado_Receita!$S$2:$S$345,"44652A4AzulNão se aplicaNão se aplicaAPENão se aplicaPonta",Mercado_Receita!$L$2:$L$345)+SUMIF(Mercado_Receita!$S$2:$S$345,"44652A4AzulNão se aplicaNão se aplicaAPENão se aplicaFora ponta",Mercado_Receita!$L$2:$L$345)+SUMIF(Mercado_Receita!$S$2:$S$345,"44652A4AzulNão se aplicaNão se aplicaAPENão se aplicaIntermediário",Mercado_Receita!$L$2:$L$345)+SUMIF(Mercado_Receita!$S$2:$S$345,"44652A4AzulNão se aplicaNão se aplicaAPENão se aplicaNão se aplica",Mercado_Receita!$L$2:$L$345)</f>
        <v>0</v>
      </c>
      <c r="Q5" s="13">
        <f>SUMIF(Mercado_Receita!$S$2:$S$345,"44682A4AzulNão se aplicaNão se aplicaAPENão se aplicaPonta",Mercado_Receita!$L$2:$L$345)+SUMIF(Mercado_Receita!$S$2:$S$345,"44682A4AzulNão se aplicaNão se aplicaAPENão se aplicaFora ponta",Mercado_Receita!$L$2:$L$345)+SUMIF(Mercado_Receita!$S$2:$S$345,"44682A4AzulNão se aplicaNão se aplicaAPENão se aplicaIntermediário",Mercado_Receita!$L$2:$L$345)+SUMIF(Mercado_Receita!$S$2:$S$345,"44682A4AzulNão se aplicaNão se aplicaAPENão se aplicaNão se aplica",Mercado_Receita!$L$2:$L$345)</f>
        <v>0</v>
      </c>
      <c r="R5" s="13">
        <f>SUMIF(Mercado_Receita!$S$2:$S$345,"44713A4AzulNão se aplicaNão se aplicaAPENão se aplicaPonta",Mercado_Receita!$L$2:$L$345)+SUMIF(Mercado_Receita!$S$2:$S$345,"44713A4AzulNão se aplicaNão se aplicaAPENão se aplicaFora ponta",Mercado_Receita!$L$2:$L$345)+SUMIF(Mercado_Receita!$S$2:$S$345,"44713A4AzulNão se aplicaNão se aplicaAPENão se aplicaIntermediário",Mercado_Receita!$L$2:$L$345)+SUMIF(Mercado_Receita!$S$2:$S$345,"44713A4AzulNão se aplicaNão se aplicaAPENão se aplicaNão se aplica",Mercado_Receita!$L$2:$L$345)</f>
        <v>0</v>
      </c>
      <c r="S5" s="13">
        <f>SUMIF(Mercado_Receita!$S$2:$S$345,"44743A4AzulNão se aplicaNão se aplicaAPENão se aplicaPonta",Mercado_Receita!$L$2:$L$345)+SUMIF(Mercado_Receita!$S$2:$S$345,"44743A4AzulNão se aplicaNão se aplicaAPENão se aplicaFora ponta",Mercado_Receita!$L$2:$L$345)+SUMIF(Mercado_Receita!$S$2:$S$345,"44743A4AzulNão se aplicaNão se aplicaAPENão se aplicaIntermediário",Mercado_Receita!$L$2:$L$345)+SUMIF(Mercado_Receita!$S$2:$S$345,"44743A4AzulNão se aplicaNão se aplicaAPENão se aplicaNão se aplica",Mercado_Receita!$L$2:$L$345)</f>
        <v>0</v>
      </c>
      <c r="T5" s="13">
        <f>SUMIF(Mercado_Receita!$S$2:$S$345,"44774A4AzulNão se aplicaNão se aplicaAPENão se aplicaPonta",Mercado_Receita!$L$2:$L$345)+SUMIF(Mercado_Receita!$S$2:$S$345,"44774A4AzulNão se aplicaNão se aplicaAPENão se aplicaFora ponta",Mercado_Receita!$L$2:$L$345)+SUMIF(Mercado_Receita!$S$2:$S$345,"44774A4AzulNão se aplicaNão se aplicaAPENão se aplicaIntermediário",Mercado_Receita!$L$2:$L$345)+SUMIF(Mercado_Receita!$S$2:$S$345,"44774A4AzulNão se aplicaNão se aplicaAPENão se aplicaNão se aplica",Mercado_Receita!$L$2:$L$345)</f>
        <v>0</v>
      </c>
      <c r="U5" s="13">
        <f t="shared" si="0"/>
        <v>0</v>
      </c>
      <c r="V5" s="13"/>
      <c r="W5" s="13"/>
    </row>
    <row r="6" spans="1:30" ht="11.25" customHeight="1" x14ac:dyDescent="0.25">
      <c r="A6" s="75"/>
      <c r="B6" s="12" t="s">
        <v>79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74</v>
      </c>
      <c r="I6" s="13">
        <f>SUMIF(Mercado_Receita!$S$2:$S$345,"44440A4GeraçãoNão se aplicaNão se aplicaNão se aplicaNão se aplicaNão se aplica",Mercado_Receita!$J$2:$J$345)+SUMIF(Mercado_Receita!$S$2:$S$345,"44440A4GeraçãoNão se aplicaNão se aplicaAPENão se aplicaNão se aplica",Mercado_Receita!$J$2:$J$345)</f>
        <v>0</v>
      </c>
      <c r="J6" s="13">
        <f>SUMIF(Mercado_Receita!$S$2:$S$345,"44470A4GeraçãoNão se aplicaNão se aplicaNão se aplicaNão se aplicaNão se aplica",Mercado_Receita!$J$2:$J$345)+SUMIF(Mercado_Receita!$S$2:$S$345,"44470A4GeraçãoNão se aplicaNão se aplicaAPENão se aplicaNão se aplica",Mercado_Receita!$J$2:$J$345)</f>
        <v>0</v>
      </c>
      <c r="K6" s="13">
        <f>SUMIF(Mercado_Receita!$S$2:$S$345,"44501A4GeraçãoNão se aplicaNão se aplicaNão se aplicaNão se aplicaNão se aplica",Mercado_Receita!$J$2:$J$345)+SUMIF(Mercado_Receita!$S$2:$S$345,"44501A4GeraçãoNão se aplicaNão se aplicaAPENão se aplicaNão se aplica",Mercado_Receita!$J$2:$J$345)</f>
        <v>0</v>
      </c>
      <c r="L6" s="13">
        <f>SUMIF(Mercado_Receita!$S$2:$S$345,"44531A4GeraçãoNão se aplicaNão se aplicaNão se aplicaNão se aplicaNão se aplica",Mercado_Receita!$J$2:$J$345)+SUMIF(Mercado_Receita!$S$2:$S$345,"44531A4GeraçãoNão se aplicaNão se aplicaAPENão se aplicaNão se aplica",Mercado_Receita!$J$2:$J$345)</f>
        <v>0</v>
      </c>
      <c r="M6" s="13">
        <f>SUMIF(Mercado_Receita!$S$2:$S$345,"44562A4GeraçãoNão se aplicaNão se aplicaNão se aplicaNão se aplicaNão se aplica",Mercado_Receita!$J$2:$J$345)+SUMIF(Mercado_Receita!$S$2:$S$345,"44562A4GeraçãoNão se aplicaNão se aplicaAPENão se aplicaNão se aplica",Mercado_Receita!$J$2:$J$345)</f>
        <v>0</v>
      </c>
      <c r="N6" s="13">
        <f>SUMIF(Mercado_Receita!$S$2:$S$345,"44593A4GeraçãoNão se aplicaNão se aplicaNão se aplicaNão se aplicaNão se aplica",Mercado_Receita!$J$2:$J$345)+SUMIF(Mercado_Receita!$S$2:$S$345,"44593A4GeraçãoNão se aplicaNão se aplicaAPENão se aplicaNão se aplica",Mercado_Receita!$J$2:$J$345)</f>
        <v>0</v>
      </c>
      <c r="O6" s="13">
        <f>SUMIF(Mercado_Receita!$S$2:$S$345,"44621A4GeraçãoNão se aplicaNão se aplicaNão se aplicaNão se aplicaNão se aplica",Mercado_Receita!$J$2:$J$345)+SUMIF(Mercado_Receita!$S$2:$S$345,"44621A4GeraçãoNão se aplicaNão se aplicaAPENão se aplicaNão se aplica",Mercado_Receita!$J$2:$J$345)</f>
        <v>0</v>
      </c>
      <c r="P6" s="13">
        <f>SUMIF(Mercado_Receita!$S$2:$S$345,"44652A4GeraçãoNão se aplicaNão se aplicaNão se aplicaNão se aplicaNão se aplica",Mercado_Receita!$J$2:$J$345)+SUMIF(Mercado_Receita!$S$2:$S$345,"44652A4GeraçãoNão se aplicaNão se aplicaAPENão se aplicaNão se aplica",Mercado_Receita!$J$2:$J$345)</f>
        <v>0</v>
      </c>
      <c r="Q6" s="13">
        <f>SUMIF(Mercado_Receita!$S$2:$S$345,"44682A4GeraçãoNão se aplicaNão se aplicaNão se aplicaNão se aplicaNão se aplica",Mercado_Receita!$J$2:$J$345)+SUMIF(Mercado_Receita!$S$2:$S$345,"44682A4GeraçãoNão se aplicaNão se aplicaAPENão se aplicaNão se aplica",Mercado_Receita!$J$2:$J$345)</f>
        <v>0</v>
      </c>
      <c r="R6" s="13">
        <f>SUMIF(Mercado_Receita!$S$2:$S$345,"44713A4GeraçãoNão se aplicaNão se aplicaNão se aplicaNão se aplicaNão se aplica",Mercado_Receita!$J$2:$J$345)+SUMIF(Mercado_Receita!$S$2:$S$345,"44713A4GeraçãoNão se aplicaNão se aplicaAPENão se aplicaNão se aplica",Mercado_Receita!$J$2:$J$345)</f>
        <v>0</v>
      </c>
      <c r="S6" s="13">
        <f>SUMIF(Mercado_Receita!$S$2:$S$345,"44743A4GeraçãoNão se aplicaNão se aplicaNão se aplicaNão se aplicaNão se aplica",Mercado_Receita!$J$2:$J$345)+SUMIF(Mercado_Receita!$S$2:$S$345,"44743A4GeraçãoNão se aplicaNão se aplicaAPENão se aplicaNão se aplica",Mercado_Receita!$J$2:$J$345)</f>
        <v>0</v>
      </c>
      <c r="T6" s="13">
        <f>SUMIF(Mercado_Receita!$S$2:$S$345,"44774A4GeraçãoNão se aplicaNão se aplicaNão se aplicaNão se aplicaNão se aplica",Mercado_Receita!$J$2:$J$345)+SUMIF(Mercado_Receita!$S$2:$S$345,"44774A4GeraçãoNão se aplicaNão se aplicaAPENão se aplicaNão se aplica",Mercado_Receita!$J$2:$J$345)</f>
        <v>0</v>
      </c>
      <c r="U6" s="13">
        <f t="shared" si="0"/>
        <v>0</v>
      </c>
      <c r="V6" s="13"/>
      <c r="W6" s="13"/>
    </row>
    <row r="7" spans="1:30" ht="11.25" customHeight="1" x14ac:dyDescent="0.25">
      <c r="A7" s="75"/>
      <c r="B7" s="74" t="s">
        <v>36</v>
      </c>
      <c r="C7" s="74" t="s">
        <v>25</v>
      </c>
      <c r="D7" s="74" t="s">
        <v>25</v>
      </c>
      <c r="E7" s="74" t="s">
        <v>25</v>
      </c>
      <c r="F7" s="74" t="s">
        <v>25</v>
      </c>
      <c r="G7" s="13" t="s">
        <v>9</v>
      </c>
      <c r="H7" s="13" t="s">
        <v>74</v>
      </c>
      <c r="I7" s="13">
        <f>SUMIF(Mercado_Receita!$S$2:$S$345,"44440A4VerdeNão se aplicaNão se aplicaNão se aplicaNão se aplicaNão se aplica",Mercado_Receita!$J$2:$J$345)+SUMIF(Mercado_Receita!$S$2:$S$345,"44440A4VerdeNão se aplicaNão se aplicaAPENão se aplicaNão se aplica",Mercado_Receita!$J$2:$J$345)</f>
        <v>2674</v>
      </c>
      <c r="J7" s="13">
        <f>SUMIF(Mercado_Receita!$S$2:$S$345,"44470A4VerdeNão se aplicaNão se aplicaNão se aplicaNão se aplicaNão se aplica",Mercado_Receita!$J$2:$J$345)+SUMIF(Mercado_Receita!$S$2:$S$345,"44470A4VerdeNão se aplicaNão se aplicaAPENão se aplicaNão se aplica",Mercado_Receita!$J$2:$J$345)</f>
        <v>2671</v>
      </c>
      <c r="K7" s="13">
        <f>SUMIF(Mercado_Receita!$S$2:$S$345,"44501A4VerdeNão se aplicaNão se aplicaNão se aplicaNão se aplicaNão se aplica",Mercado_Receita!$J$2:$J$345)+SUMIF(Mercado_Receita!$S$2:$S$345,"44501A4VerdeNão se aplicaNão se aplicaAPENão se aplicaNão se aplica",Mercado_Receita!$J$2:$J$345)</f>
        <v>2931</v>
      </c>
      <c r="L7" s="13">
        <f>SUMIF(Mercado_Receita!$S$2:$S$345,"44531A4VerdeNão se aplicaNão se aplicaNão se aplicaNão se aplicaNão se aplica",Mercado_Receita!$J$2:$J$345)+SUMIF(Mercado_Receita!$S$2:$S$345,"44531A4VerdeNão se aplicaNão se aplicaAPENão se aplicaNão se aplica",Mercado_Receita!$J$2:$J$345)</f>
        <v>2959</v>
      </c>
      <c r="M7" s="13">
        <f>SUMIF(Mercado_Receita!$S$2:$S$345,"44562A4VerdeNão se aplicaNão se aplicaNão se aplicaNão se aplicaNão se aplica",Mercado_Receita!$J$2:$J$345)+SUMIF(Mercado_Receita!$S$2:$S$345,"44562A4VerdeNão se aplicaNão se aplicaAPENão se aplicaNão se aplica",Mercado_Receita!$J$2:$J$345)</f>
        <v>3021</v>
      </c>
      <c r="N7" s="13">
        <f>SUMIF(Mercado_Receita!$S$2:$S$345,"44593A4VerdeNão se aplicaNão se aplicaNão se aplicaNão se aplicaNão se aplica",Mercado_Receita!$J$2:$J$345)+SUMIF(Mercado_Receita!$S$2:$S$345,"44593A4VerdeNão se aplicaNão se aplicaAPENão se aplicaNão se aplica",Mercado_Receita!$J$2:$J$345)</f>
        <v>2992</v>
      </c>
      <c r="O7" s="13">
        <f>SUMIF(Mercado_Receita!$S$2:$S$345,"44621A4VerdeNão se aplicaNão se aplicaNão se aplicaNão se aplicaNão se aplica",Mercado_Receita!$J$2:$J$345)+SUMIF(Mercado_Receita!$S$2:$S$345,"44621A4VerdeNão se aplicaNão se aplicaAPENão se aplicaNão se aplica",Mercado_Receita!$J$2:$J$345)</f>
        <v>2974</v>
      </c>
      <c r="P7" s="13">
        <f>SUMIF(Mercado_Receita!$S$2:$S$345,"44652A4VerdeNão se aplicaNão se aplicaNão se aplicaNão se aplicaNão se aplica",Mercado_Receita!$J$2:$J$345)+SUMIF(Mercado_Receita!$S$2:$S$345,"44652A4VerdeNão se aplicaNão se aplicaAPENão se aplicaNão se aplica",Mercado_Receita!$J$2:$J$345)</f>
        <v>2660</v>
      </c>
      <c r="Q7" s="13">
        <f>SUMIF(Mercado_Receita!$S$2:$S$345,"44682A4VerdeNão se aplicaNão se aplicaNão se aplicaNão se aplicaNão se aplica",Mercado_Receita!$J$2:$J$345)+SUMIF(Mercado_Receita!$S$2:$S$345,"44682A4VerdeNão se aplicaNão se aplicaAPENão se aplicaNão se aplica",Mercado_Receita!$J$2:$J$345)</f>
        <v>2634</v>
      </c>
      <c r="R7" s="13">
        <f>SUMIF(Mercado_Receita!$S$2:$S$345,"44713A4VerdeNão se aplicaNão se aplicaNão se aplicaNão se aplicaNão se aplica",Mercado_Receita!$J$2:$J$345)+SUMIF(Mercado_Receita!$S$2:$S$345,"44713A4VerdeNão se aplicaNão se aplicaAPENão se aplicaNão se aplica",Mercado_Receita!$J$2:$J$345)</f>
        <v>2639</v>
      </c>
      <c r="S7" s="13">
        <f>SUMIF(Mercado_Receita!$S$2:$S$345,"44743A4VerdeNão se aplicaNão se aplicaNão se aplicaNão se aplicaNão se aplica",Mercado_Receita!$J$2:$J$345)+SUMIF(Mercado_Receita!$S$2:$S$345,"44743A4VerdeNão se aplicaNão se aplicaAPENão se aplicaNão se aplica",Mercado_Receita!$J$2:$J$345)</f>
        <v>2662</v>
      </c>
      <c r="T7" s="13">
        <f>SUMIF(Mercado_Receita!$S$2:$S$345,"44774A4VerdeNão se aplicaNão se aplicaNão se aplicaNão se aplicaNão se aplica",Mercado_Receita!$J$2:$J$345)+SUMIF(Mercado_Receita!$S$2:$S$345,"44774A4VerdeNão se aplicaNão se aplicaAPENão se aplicaNão se aplica",Mercado_Receita!$J$2:$J$345)</f>
        <v>2672</v>
      </c>
      <c r="U7" s="13">
        <f t="shared" si="0"/>
        <v>33489</v>
      </c>
      <c r="V7" s="13"/>
      <c r="W7" s="13"/>
    </row>
    <row r="8" spans="1:30" ht="11.25" customHeight="1" x14ac:dyDescent="0.25">
      <c r="A8" s="75"/>
      <c r="B8" s="75"/>
      <c r="C8" s="75"/>
      <c r="D8" s="75"/>
      <c r="E8" s="75"/>
      <c r="F8" s="75"/>
      <c r="G8" s="13" t="s">
        <v>71</v>
      </c>
      <c r="H8" s="13" t="s">
        <v>70</v>
      </c>
      <c r="I8" s="13">
        <f>SUMIF(Mercado_Receita!$S$2:$S$345,"44440A4VerdeNão se aplicaNão se aplicaNão se aplicaNão se aplicaPonta",Mercado_Receita!$L$2:$L$345)</f>
        <v>18.238000000000003</v>
      </c>
      <c r="J8" s="13">
        <f>SUMIF(Mercado_Receita!$S$2:$S$345,"44470A4VerdeNão se aplicaNão se aplicaNão se aplicaNão se aplicaPonta",Mercado_Receita!$L$2:$L$345)</f>
        <v>17.837999999999997</v>
      </c>
      <c r="K8" s="13">
        <f>SUMIF(Mercado_Receita!$S$2:$S$345,"44501A4VerdeNão se aplicaNão se aplicaNão se aplicaNão se aplicaPonta",Mercado_Receita!$L$2:$L$345)</f>
        <v>19.646999999999998</v>
      </c>
      <c r="L8" s="13">
        <f>SUMIF(Mercado_Receita!$S$2:$S$345,"44531A4VerdeNão se aplicaNão se aplicaNão se aplicaNão se aplicaPonta",Mercado_Receita!$L$2:$L$345)</f>
        <v>19.835000000000001</v>
      </c>
      <c r="M8" s="13">
        <f>SUMIF(Mercado_Receita!$S$2:$S$345,"44562A4VerdeNão se aplicaNão se aplicaNão se aplicaNão se aplicaPonta",Mercado_Receita!$L$2:$L$345)</f>
        <v>21.28</v>
      </c>
      <c r="N8" s="13">
        <f>SUMIF(Mercado_Receita!$S$2:$S$345,"44593A4VerdeNão se aplicaNão se aplicaNão se aplicaNão se aplicaPonta",Mercado_Receita!$L$2:$L$345)</f>
        <v>21.094999999999999</v>
      </c>
      <c r="O8" s="13">
        <f>SUMIF(Mercado_Receita!$S$2:$S$345,"44621A4VerdeNão se aplicaNão se aplicaNão se aplicaNão se aplicaPonta",Mercado_Receita!$L$2:$L$345)</f>
        <v>20.808</v>
      </c>
      <c r="P8" s="13">
        <f>SUMIF(Mercado_Receita!$S$2:$S$345,"44652A4VerdeNão se aplicaNão se aplicaNão se aplicaNão se aplicaPonta",Mercado_Receita!$L$2:$L$345)</f>
        <v>17.122</v>
      </c>
      <c r="Q8" s="13">
        <f>SUMIF(Mercado_Receita!$S$2:$S$345,"44682A4VerdeNão se aplicaNão se aplicaNão se aplicaNão se aplicaPonta",Mercado_Receita!$L$2:$L$345)</f>
        <v>16.454000000000001</v>
      </c>
      <c r="R8" s="13">
        <f>SUMIF(Mercado_Receita!$S$2:$S$345,"44713A4VerdeNão se aplicaNão se aplicaNão se aplicaNão se aplicaPonta",Mercado_Receita!$L$2:$L$345)</f>
        <v>16.905000000000001</v>
      </c>
      <c r="S8" s="13">
        <f>SUMIF(Mercado_Receita!$S$2:$S$345,"44743A4VerdeNão se aplicaNão se aplicaNão se aplicaNão se aplicaPonta",Mercado_Receita!$L$2:$L$345)</f>
        <v>22.428999999999998</v>
      </c>
      <c r="T8" s="13">
        <f>SUMIF(Mercado_Receita!$S$2:$S$345,"44774A4VerdeNão se aplicaNão se aplicaNão se aplicaNão se aplicaPonta",Mercado_Receita!$L$2:$L$345)</f>
        <v>20.648</v>
      </c>
      <c r="U8" s="13">
        <f t="shared" si="0"/>
        <v>232.29900000000001</v>
      </c>
      <c r="V8" s="13"/>
      <c r="W8" s="13"/>
    </row>
    <row r="9" spans="1:30" ht="11.25" customHeight="1" x14ac:dyDescent="0.25">
      <c r="A9" s="75"/>
      <c r="B9" s="75"/>
      <c r="C9" s="75"/>
      <c r="D9" s="75"/>
      <c r="E9" s="75"/>
      <c r="F9" s="75"/>
      <c r="G9" s="13" t="s">
        <v>72</v>
      </c>
      <c r="H9" s="13" t="s">
        <v>70</v>
      </c>
      <c r="I9" s="13">
        <f>SUMIF(Mercado_Receita!$S$2:$S$345,"44440A4VerdeNão se aplicaNão se aplicaNão se aplicaNão se aplicaFora ponta",Mercado_Receita!$L$2:$L$345)</f>
        <v>630.84799999999996</v>
      </c>
      <c r="J9" s="13">
        <f>SUMIF(Mercado_Receita!$S$2:$S$345,"44470A4VerdeNão se aplicaNão se aplicaNão se aplicaNão se aplicaFora ponta",Mercado_Receita!$L$2:$L$345)</f>
        <v>627.05200000000002</v>
      </c>
      <c r="K9" s="13">
        <f>SUMIF(Mercado_Receita!$S$2:$S$345,"44501A4VerdeNão se aplicaNão se aplicaNão se aplicaNão se aplicaFora ponta",Mercado_Receita!$L$2:$L$345)</f>
        <v>745.37600000000009</v>
      </c>
      <c r="L9" s="13">
        <f>SUMIF(Mercado_Receita!$S$2:$S$345,"44531A4VerdeNão se aplicaNão se aplicaNão se aplicaNão se aplicaFora ponta",Mercado_Receita!$L$2:$L$345)</f>
        <v>606.38099999999997</v>
      </c>
      <c r="M9" s="13">
        <f>SUMIF(Mercado_Receita!$S$2:$S$345,"44562A4VerdeNão se aplicaNão se aplicaNão se aplicaNão se aplicaFora ponta",Mercado_Receita!$L$2:$L$345)</f>
        <v>765.279</v>
      </c>
      <c r="N9" s="13">
        <f>SUMIF(Mercado_Receita!$S$2:$S$345,"44593A4VerdeNão se aplicaNão se aplicaNão se aplicaNão se aplicaFora ponta",Mercado_Receita!$L$2:$L$345)</f>
        <v>605.12700000000007</v>
      </c>
      <c r="O9" s="13">
        <f>SUMIF(Mercado_Receita!$S$2:$S$345,"44621A4VerdeNão se aplicaNão se aplicaNão se aplicaNão se aplicaFora ponta",Mercado_Receita!$L$2:$L$345)</f>
        <v>748.67399999999998</v>
      </c>
      <c r="P9" s="13">
        <f>SUMIF(Mercado_Receita!$S$2:$S$345,"44652A4VerdeNão se aplicaNão se aplicaNão se aplicaNão se aplicaFora ponta",Mercado_Receita!$L$2:$L$345)</f>
        <v>565.41300000000001</v>
      </c>
      <c r="Q9" s="13">
        <f>SUMIF(Mercado_Receita!$S$2:$S$345,"44682A4VerdeNão se aplicaNão se aplicaNão se aplicaNão se aplicaFora ponta",Mercado_Receita!$L$2:$L$345)</f>
        <v>549.67999999999995</v>
      </c>
      <c r="R9" s="13">
        <f>SUMIF(Mercado_Receita!$S$2:$S$345,"44713A4VerdeNão se aplicaNão se aplicaNão se aplicaNão se aplicaFora ponta",Mercado_Receita!$L$2:$L$345)</f>
        <v>516.79300000000001</v>
      </c>
      <c r="S9" s="13">
        <f>SUMIF(Mercado_Receita!$S$2:$S$345,"44743A4VerdeNão se aplicaNão se aplicaNão se aplicaNão se aplicaFora ponta",Mercado_Receita!$L$2:$L$345)</f>
        <v>578.23099999999999</v>
      </c>
      <c r="T9" s="13">
        <f>SUMIF(Mercado_Receita!$S$2:$S$345,"44774A4VerdeNão se aplicaNão se aplicaNão se aplicaNão se aplicaFora ponta",Mercado_Receita!$L$2:$L$345)</f>
        <v>643.70299999999997</v>
      </c>
      <c r="U9" s="13">
        <f t="shared" si="0"/>
        <v>7582.5569999999989</v>
      </c>
      <c r="V9" s="13"/>
      <c r="W9" s="13"/>
    </row>
    <row r="10" spans="1:30" ht="11.25" customHeight="1" x14ac:dyDescent="0.25">
      <c r="A10" s="75"/>
      <c r="B10" s="75"/>
      <c r="C10" s="75"/>
      <c r="D10" s="75"/>
      <c r="E10" s="74" t="s">
        <v>78</v>
      </c>
      <c r="F10" s="74" t="s">
        <v>25</v>
      </c>
      <c r="G10" s="13" t="s">
        <v>71</v>
      </c>
      <c r="H10" s="13" t="s">
        <v>70</v>
      </c>
      <c r="I10" s="13">
        <f>SUMIF(Mercado_Receita!$S$2:$S$345,"44440A4VerdeNão se aplicaNão se aplicaAPENão se aplicaPonta",Mercado_Receita!$L$2:$L$345)</f>
        <v>0</v>
      </c>
      <c r="J10" s="13">
        <f>SUMIF(Mercado_Receita!$S$2:$S$345,"44470A4VerdeNão se aplicaNão se aplicaAPENão se aplicaPonta",Mercado_Receita!$L$2:$L$345)</f>
        <v>0</v>
      </c>
      <c r="K10" s="13">
        <f>SUMIF(Mercado_Receita!$S$2:$S$345,"44501A4VerdeNão se aplicaNão se aplicaAPENão se aplicaPonta",Mercado_Receita!$L$2:$L$345)</f>
        <v>0</v>
      </c>
      <c r="L10" s="13">
        <f>SUMIF(Mercado_Receita!$S$2:$S$345,"44531A4VerdeNão se aplicaNão se aplicaAPENão se aplicaPonta",Mercado_Receita!$L$2:$L$345)</f>
        <v>0</v>
      </c>
      <c r="M10" s="13">
        <f>SUMIF(Mercado_Receita!$S$2:$S$345,"44562A4VerdeNão se aplicaNão se aplicaAPENão se aplicaPonta",Mercado_Receita!$L$2:$L$345)</f>
        <v>0</v>
      </c>
      <c r="N10" s="13">
        <f>SUMIF(Mercado_Receita!$S$2:$S$345,"44593A4VerdeNão se aplicaNão se aplicaAPENão se aplicaPonta",Mercado_Receita!$L$2:$L$345)</f>
        <v>0</v>
      </c>
      <c r="O10" s="13">
        <f>SUMIF(Mercado_Receita!$S$2:$S$345,"44621A4VerdeNão se aplicaNão se aplicaAPENão se aplicaPonta",Mercado_Receita!$L$2:$L$345)</f>
        <v>0</v>
      </c>
      <c r="P10" s="13">
        <f>SUMIF(Mercado_Receita!$S$2:$S$345,"44652A4VerdeNão se aplicaNão se aplicaAPENão se aplicaPonta",Mercado_Receita!$L$2:$L$345)</f>
        <v>0</v>
      </c>
      <c r="Q10" s="13">
        <f>SUMIF(Mercado_Receita!$S$2:$S$345,"44682A4VerdeNão se aplicaNão se aplicaAPENão se aplicaPonta",Mercado_Receita!$L$2:$L$345)</f>
        <v>0</v>
      </c>
      <c r="R10" s="13">
        <f>SUMIF(Mercado_Receita!$S$2:$S$345,"44713A4VerdeNão se aplicaNão se aplicaAPENão se aplicaPonta",Mercado_Receita!$L$2:$L$345)</f>
        <v>0</v>
      </c>
      <c r="S10" s="13">
        <f>SUMIF(Mercado_Receita!$S$2:$S$345,"44743A4VerdeNão se aplicaNão se aplicaAPENão se aplicaPonta",Mercado_Receita!$L$2:$L$345)</f>
        <v>0</v>
      </c>
      <c r="T10" s="13">
        <f>SUMIF(Mercado_Receita!$S$2:$S$345,"44774A4VerdeNão se aplicaNão se aplicaAPENão se aplicaPonta",Mercado_Receita!$L$2:$L$345)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75"/>
      <c r="B11" s="75"/>
      <c r="C11" s="75"/>
      <c r="D11" s="75"/>
      <c r="E11" s="75"/>
      <c r="F11" s="75"/>
      <c r="G11" s="13" t="s">
        <v>72</v>
      </c>
      <c r="H11" s="13" t="s">
        <v>70</v>
      </c>
      <c r="I11" s="13">
        <f>SUMIF(Mercado_Receita!$S$2:$S$345,"44440A4VerdeNão se aplicaNão se aplicaAPENão se aplicaFora ponta",Mercado_Receita!$L$2:$L$345)</f>
        <v>0</v>
      </c>
      <c r="J11" s="13">
        <f>SUMIF(Mercado_Receita!$S$2:$S$345,"44470A4VerdeNão se aplicaNão se aplicaAPENão se aplicaFora ponta",Mercado_Receita!$L$2:$L$345)</f>
        <v>0</v>
      </c>
      <c r="K11" s="13">
        <f>SUMIF(Mercado_Receita!$S$2:$S$345,"44501A4VerdeNão se aplicaNão se aplicaAPENão se aplicaFora ponta",Mercado_Receita!$L$2:$L$345)</f>
        <v>0</v>
      </c>
      <c r="L11" s="13">
        <f>SUMIF(Mercado_Receita!$S$2:$S$345,"44531A4VerdeNão se aplicaNão se aplicaAPENão se aplicaFora ponta",Mercado_Receita!$L$2:$L$345)</f>
        <v>0</v>
      </c>
      <c r="M11" s="13">
        <f>SUMIF(Mercado_Receita!$S$2:$S$345,"44562A4VerdeNão se aplicaNão se aplicaAPENão se aplicaFora ponta",Mercado_Receita!$L$2:$L$345)</f>
        <v>0</v>
      </c>
      <c r="N11" s="13">
        <f>SUMIF(Mercado_Receita!$S$2:$S$345,"44593A4VerdeNão se aplicaNão se aplicaAPENão se aplicaFora ponta",Mercado_Receita!$L$2:$L$345)</f>
        <v>0</v>
      </c>
      <c r="O11" s="13">
        <f>SUMIF(Mercado_Receita!$S$2:$S$345,"44621A4VerdeNão se aplicaNão se aplicaAPENão se aplicaFora ponta",Mercado_Receita!$L$2:$L$345)</f>
        <v>0</v>
      </c>
      <c r="P11" s="13">
        <f>SUMIF(Mercado_Receita!$S$2:$S$345,"44652A4VerdeNão se aplicaNão se aplicaAPENão se aplicaFora ponta",Mercado_Receita!$L$2:$L$345)</f>
        <v>0</v>
      </c>
      <c r="Q11" s="13">
        <f>SUMIF(Mercado_Receita!$S$2:$S$345,"44682A4VerdeNão se aplicaNão se aplicaAPENão se aplicaFora ponta",Mercado_Receita!$L$2:$L$345)</f>
        <v>0</v>
      </c>
      <c r="R11" s="13">
        <f>SUMIF(Mercado_Receita!$S$2:$S$345,"44713A4VerdeNão se aplicaNão se aplicaAPENão se aplicaFora ponta",Mercado_Receita!$L$2:$L$345)</f>
        <v>0</v>
      </c>
      <c r="S11" s="13">
        <f>SUMIF(Mercado_Receita!$S$2:$S$345,"44743A4VerdeNão se aplicaNão se aplicaAPENão se aplicaFora ponta",Mercado_Receita!$L$2:$L$345)</f>
        <v>0</v>
      </c>
      <c r="T11" s="13">
        <f>SUMIF(Mercado_Receita!$S$2:$S$345,"44774A4VerdeNão se aplicaNão se aplicaAPENão se aplicaFora ponta",Mercado_Receita!$L$2:$L$345)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4" t="s">
        <v>80</v>
      </c>
      <c r="B12" s="74" t="s">
        <v>79</v>
      </c>
      <c r="C12" s="74" t="s">
        <v>25</v>
      </c>
      <c r="D12" s="74" t="s">
        <v>25</v>
      </c>
      <c r="E12" s="12" t="s">
        <v>81</v>
      </c>
      <c r="F12" s="12" t="s">
        <v>25</v>
      </c>
      <c r="G12" s="13" t="s">
        <v>9</v>
      </c>
      <c r="H12" s="13" t="s">
        <v>74</v>
      </c>
      <c r="I12" s="13">
        <f>SUMIF(Mercado_Receita!$S$2:$S$345,"44440BGeraçãoNão se aplicaNão se aplicaTIPO 01Não se aplicaNão se aplica",Mercado_Receita!$J$2:$J$345)+SUMIF(Mercado_Receita!$S$2:$S$345,"44440BGeraçãoNão se aplicaNão se aplicaAPENão se aplicaNão se aplica",Mercado_Receita!$J$2:$J$345)</f>
        <v>0</v>
      </c>
      <c r="J12" s="13">
        <f>SUMIF(Mercado_Receita!$S$2:$S$345,"44470BGeraçãoNão se aplicaNão se aplicaTIPO 01Não se aplicaNão se aplica",Mercado_Receita!$J$2:$J$345)+SUMIF(Mercado_Receita!$S$2:$S$345,"44470BGeraçãoNão se aplicaNão se aplicaAPENão se aplicaNão se aplica",Mercado_Receita!$J$2:$J$345)</f>
        <v>0</v>
      </c>
      <c r="K12" s="13">
        <f>SUMIF(Mercado_Receita!$S$2:$S$345,"44501BGeraçãoNão se aplicaNão se aplicaTIPO 01Não se aplicaNão se aplica",Mercado_Receita!$J$2:$J$345)+SUMIF(Mercado_Receita!$S$2:$S$345,"44501BGeraçãoNão se aplicaNão se aplicaAPENão se aplicaNão se aplica",Mercado_Receita!$J$2:$J$345)</f>
        <v>0</v>
      </c>
      <c r="L12" s="13">
        <f>SUMIF(Mercado_Receita!$S$2:$S$345,"44531BGeraçãoNão se aplicaNão se aplicaTIPO 01Não se aplicaNão se aplica",Mercado_Receita!$J$2:$J$345)+SUMIF(Mercado_Receita!$S$2:$S$345,"44531BGeraçãoNão se aplicaNão se aplicaAPENão se aplicaNão se aplica",Mercado_Receita!$J$2:$J$345)</f>
        <v>0</v>
      </c>
      <c r="M12" s="13">
        <f>SUMIF(Mercado_Receita!$S$2:$S$345,"44562BGeraçãoNão se aplicaNão se aplicaTIPO 01Não se aplicaNão se aplica",Mercado_Receita!$J$2:$J$345)+SUMIF(Mercado_Receita!$S$2:$S$345,"44562BGeraçãoNão se aplicaNão se aplicaAPENão se aplicaNão se aplica",Mercado_Receita!$J$2:$J$345)</f>
        <v>0</v>
      </c>
      <c r="N12" s="13">
        <f>SUMIF(Mercado_Receita!$S$2:$S$345,"44593BGeraçãoNão se aplicaNão se aplicaTIPO 01Não se aplicaNão se aplica",Mercado_Receita!$J$2:$J$345)+SUMIF(Mercado_Receita!$S$2:$S$345,"44593BGeraçãoNão se aplicaNão se aplicaAPENão se aplicaNão se aplica",Mercado_Receita!$J$2:$J$345)</f>
        <v>0</v>
      </c>
      <c r="O12" s="13">
        <f>SUMIF(Mercado_Receita!$S$2:$S$345,"44621BGeraçãoNão se aplicaNão se aplicaTIPO 01Não se aplicaNão se aplica",Mercado_Receita!$J$2:$J$345)+SUMIF(Mercado_Receita!$S$2:$S$345,"44621BGeraçãoNão se aplicaNão se aplicaAPENão se aplicaNão se aplica",Mercado_Receita!$J$2:$J$345)</f>
        <v>0</v>
      </c>
      <c r="P12" s="13">
        <f>SUMIF(Mercado_Receita!$S$2:$S$345,"44652BGeraçãoNão se aplicaNão se aplicaTIPO 01Não se aplicaNão se aplica",Mercado_Receita!$J$2:$J$345)+SUMIF(Mercado_Receita!$S$2:$S$345,"44652BGeraçãoNão se aplicaNão se aplicaAPENão se aplicaNão se aplica",Mercado_Receita!$J$2:$J$345)</f>
        <v>0</v>
      </c>
      <c r="Q12" s="13">
        <f>SUMIF(Mercado_Receita!$S$2:$S$345,"44682BGeraçãoNão se aplicaNão se aplicaTIPO 01Não se aplicaNão se aplica",Mercado_Receita!$J$2:$J$345)+SUMIF(Mercado_Receita!$S$2:$S$345,"44682BGeraçãoNão se aplicaNão se aplicaAPENão se aplicaNão se aplica",Mercado_Receita!$J$2:$J$345)</f>
        <v>0</v>
      </c>
      <c r="R12" s="13">
        <f>SUMIF(Mercado_Receita!$S$2:$S$345,"44713BGeraçãoNão se aplicaNão se aplicaTIPO 01Não se aplicaNão se aplica",Mercado_Receita!$J$2:$J$345)+SUMIF(Mercado_Receita!$S$2:$S$345,"44713BGeraçãoNão se aplicaNão se aplicaAPENão se aplicaNão se aplica",Mercado_Receita!$J$2:$J$345)</f>
        <v>0</v>
      </c>
      <c r="S12" s="13">
        <f>SUMIF(Mercado_Receita!$S$2:$S$345,"44743BGeraçãoNão se aplicaNão se aplicaTIPO 01Não se aplicaNão se aplica",Mercado_Receita!$J$2:$J$345)+SUMIF(Mercado_Receita!$S$2:$S$345,"44743BGeraçãoNão se aplicaNão se aplicaAPENão se aplicaNão se aplica",Mercado_Receita!$J$2:$J$345)</f>
        <v>0</v>
      </c>
      <c r="T12" s="13">
        <f>SUMIF(Mercado_Receita!$S$2:$S$345,"44774BGeraçãoNão se aplicaNão se aplicaTIPO 01Não se aplicaNão se aplica",Mercado_Receita!$J$2:$J$345)+SUMIF(Mercado_Receita!$S$2:$S$345,"44774BGeraçãoNão se aplicaNão se aplicaAPENão se aplicaNão se aplica",Mercado_Receita!$J$2:$J$345)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5"/>
      <c r="B13" s="75"/>
      <c r="C13" s="75"/>
      <c r="D13" s="75"/>
      <c r="E13" s="12" t="s">
        <v>82</v>
      </c>
      <c r="F13" s="12" t="s">
        <v>25</v>
      </c>
      <c r="G13" s="13" t="s">
        <v>9</v>
      </c>
      <c r="H13" s="13" t="s">
        <v>74</v>
      </c>
      <c r="I13" s="13">
        <f>SUMIF(Mercado_Receita!$S$2:$S$345,"44440BGeraçãoNão se aplicaNão se aplicaTIPO 02Não se aplicaNão se aplica",Mercado_Receita!$J$2:$J$345)+SUMIF(Mercado_Receita!$S$2:$S$345,"44440BGeraçãoNão se aplicaNão se aplicaAPENão se aplicaNão se aplica",Mercado_Receita!$J$2:$J$345)</f>
        <v>0</v>
      </c>
      <c r="J13" s="13">
        <f>SUMIF(Mercado_Receita!$S$2:$S$345,"44470BGeraçãoNão se aplicaNão se aplicaTIPO 02Não se aplicaNão se aplica",Mercado_Receita!$J$2:$J$345)+SUMIF(Mercado_Receita!$S$2:$S$345,"44470BGeraçãoNão se aplicaNão se aplicaAPENão se aplicaNão se aplica",Mercado_Receita!$J$2:$J$345)</f>
        <v>0</v>
      </c>
      <c r="K13" s="13">
        <f>SUMIF(Mercado_Receita!$S$2:$S$345,"44501BGeraçãoNão se aplicaNão se aplicaTIPO 02Não se aplicaNão se aplica",Mercado_Receita!$J$2:$J$345)+SUMIF(Mercado_Receita!$S$2:$S$345,"44501BGeraçãoNão se aplicaNão se aplicaAPENão se aplicaNão se aplica",Mercado_Receita!$J$2:$J$345)</f>
        <v>0</v>
      </c>
      <c r="L13" s="13">
        <f>SUMIF(Mercado_Receita!$S$2:$S$345,"44531BGeraçãoNão se aplicaNão se aplicaTIPO 02Não se aplicaNão se aplica",Mercado_Receita!$J$2:$J$345)+SUMIF(Mercado_Receita!$S$2:$S$345,"44531BGeraçãoNão se aplicaNão se aplicaAPENão se aplicaNão se aplica",Mercado_Receita!$J$2:$J$345)</f>
        <v>0</v>
      </c>
      <c r="M13" s="13">
        <f>SUMIF(Mercado_Receita!$S$2:$S$345,"44562BGeraçãoNão se aplicaNão se aplicaTIPO 02Não se aplicaNão se aplica",Mercado_Receita!$J$2:$J$345)+SUMIF(Mercado_Receita!$S$2:$S$345,"44562BGeraçãoNão se aplicaNão se aplicaAPENão se aplicaNão se aplica",Mercado_Receita!$J$2:$J$345)</f>
        <v>0</v>
      </c>
      <c r="N13" s="13">
        <f>SUMIF(Mercado_Receita!$S$2:$S$345,"44593BGeraçãoNão se aplicaNão se aplicaTIPO 02Não se aplicaNão se aplica",Mercado_Receita!$J$2:$J$345)+SUMIF(Mercado_Receita!$S$2:$S$345,"44593BGeraçãoNão se aplicaNão se aplicaAPENão se aplicaNão se aplica",Mercado_Receita!$J$2:$J$345)</f>
        <v>0</v>
      </c>
      <c r="O13" s="13">
        <f>SUMIF(Mercado_Receita!$S$2:$S$345,"44621BGeraçãoNão se aplicaNão se aplicaTIPO 02Não se aplicaNão se aplica",Mercado_Receita!$J$2:$J$345)+SUMIF(Mercado_Receita!$S$2:$S$345,"44621BGeraçãoNão se aplicaNão se aplicaAPENão se aplicaNão se aplica",Mercado_Receita!$J$2:$J$345)</f>
        <v>0</v>
      </c>
      <c r="P13" s="13">
        <f>SUMIF(Mercado_Receita!$S$2:$S$345,"44652BGeraçãoNão se aplicaNão se aplicaTIPO 02Não se aplicaNão se aplica",Mercado_Receita!$J$2:$J$345)+SUMIF(Mercado_Receita!$S$2:$S$345,"44652BGeraçãoNão se aplicaNão se aplicaAPENão se aplicaNão se aplica",Mercado_Receita!$J$2:$J$345)</f>
        <v>0</v>
      </c>
      <c r="Q13" s="13">
        <f>SUMIF(Mercado_Receita!$S$2:$S$345,"44682BGeraçãoNão se aplicaNão se aplicaTIPO 02Não se aplicaNão se aplica",Mercado_Receita!$J$2:$J$345)+SUMIF(Mercado_Receita!$S$2:$S$345,"44682BGeraçãoNão se aplicaNão se aplicaAPENão se aplicaNão se aplica",Mercado_Receita!$J$2:$J$345)</f>
        <v>0</v>
      </c>
      <c r="R13" s="13">
        <f>SUMIF(Mercado_Receita!$S$2:$S$345,"44713BGeraçãoNão se aplicaNão se aplicaTIPO 02Não se aplicaNão se aplica",Mercado_Receita!$J$2:$J$345)+SUMIF(Mercado_Receita!$S$2:$S$345,"44713BGeraçãoNão se aplicaNão se aplicaAPENão se aplicaNão se aplica",Mercado_Receita!$J$2:$J$345)</f>
        <v>0</v>
      </c>
      <c r="S13" s="13">
        <f>SUMIF(Mercado_Receita!$S$2:$S$345,"44743BGeraçãoNão se aplicaNão se aplicaTIPO 02Não se aplicaNão se aplica",Mercado_Receita!$J$2:$J$345)+SUMIF(Mercado_Receita!$S$2:$S$345,"44743BGeraçãoNão se aplicaNão se aplicaAPENão se aplicaNão se aplica",Mercado_Receita!$J$2:$J$345)</f>
        <v>0</v>
      </c>
      <c r="T13" s="13">
        <f>SUMIF(Mercado_Receita!$S$2:$S$345,"44774BGeraçãoNão se aplicaNão se aplicaTIPO 02Não se aplicaNão se aplica",Mercado_Receita!$J$2:$J$345)+SUMIF(Mercado_Receita!$S$2:$S$345,"44774BGeraçãoNão se aplicaNão se aplicaAPENão se aplicaNão se aplica",Mercado_Receita!$J$2:$J$345)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4" t="s">
        <v>22</v>
      </c>
      <c r="B14" s="74" t="s">
        <v>85</v>
      </c>
      <c r="C14" s="74" t="s">
        <v>24</v>
      </c>
      <c r="D14" s="74" t="s">
        <v>24</v>
      </c>
      <c r="E14" s="74" t="s">
        <v>25</v>
      </c>
      <c r="F14" s="74" t="s">
        <v>25</v>
      </c>
      <c r="G14" s="13" t="s">
        <v>71</v>
      </c>
      <c r="H14" s="13" t="s">
        <v>70</v>
      </c>
      <c r="I14" s="13">
        <f>SUMIF(Mercado_Receita!$S$2:$S$345,"44440B1BrancaResidencialResidencialNão se aplicaNão se aplicaPonta",Mercado_Receita!$L$2:$L$345)</f>
        <v>0</v>
      </c>
      <c r="J14" s="13">
        <f>SUMIF(Mercado_Receita!$S$2:$S$345,"44470B1BrancaResidencialResidencialNão se aplicaNão se aplicaPonta",Mercado_Receita!$L$2:$L$345)</f>
        <v>0</v>
      </c>
      <c r="K14" s="13">
        <f>SUMIF(Mercado_Receita!$S$2:$S$345,"44501B1BrancaResidencialResidencialNão se aplicaNão se aplicaPonta",Mercado_Receita!$L$2:$L$345)</f>
        <v>0</v>
      </c>
      <c r="L14" s="13">
        <f>SUMIF(Mercado_Receita!$S$2:$S$345,"44531B1BrancaResidencialResidencialNão se aplicaNão se aplicaPonta",Mercado_Receita!$L$2:$L$345)</f>
        <v>0</v>
      </c>
      <c r="M14" s="13">
        <f>SUMIF(Mercado_Receita!$S$2:$S$345,"44562B1BrancaResidencialResidencialNão se aplicaNão se aplicaPonta",Mercado_Receita!$L$2:$L$345)</f>
        <v>0</v>
      </c>
      <c r="N14" s="13">
        <f>SUMIF(Mercado_Receita!$S$2:$S$345,"44593B1BrancaResidencialResidencialNão se aplicaNão se aplicaPonta",Mercado_Receita!$L$2:$L$345)</f>
        <v>0</v>
      </c>
      <c r="O14" s="13">
        <f>SUMIF(Mercado_Receita!$S$2:$S$345,"44621B1BrancaResidencialResidencialNão se aplicaNão se aplicaPonta",Mercado_Receita!$L$2:$L$345)</f>
        <v>0</v>
      </c>
      <c r="P14" s="13">
        <f>SUMIF(Mercado_Receita!$S$2:$S$345,"44652B1BrancaResidencialResidencialNão se aplicaNão se aplicaPonta",Mercado_Receita!$L$2:$L$345)</f>
        <v>0</v>
      </c>
      <c r="Q14" s="13">
        <f>SUMIF(Mercado_Receita!$S$2:$S$345,"44682B1BrancaResidencialResidencialNão se aplicaNão se aplicaPonta",Mercado_Receita!$L$2:$L$345)</f>
        <v>0</v>
      </c>
      <c r="R14" s="13">
        <f>SUMIF(Mercado_Receita!$S$2:$S$345,"44713B1BrancaResidencialResidencialNão se aplicaNão se aplicaPonta",Mercado_Receita!$L$2:$L$345)</f>
        <v>0</v>
      </c>
      <c r="S14" s="13">
        <f>SUMIF(Mercado_Receita!$S$2:$S$345,"44743B1BrancaResidencialResidencialNão se aplicaNão se aplicaPonta",Mercado_Receita!$L$2:$L$345)</f>
        <v>0</v>
      </c>
      <c r="T14" s="13">
        <f>SUMIF(Mercado_Receita!$S$2:$S$345,"44774B1BrancaResidencialResidencialNão se aplicaNão se aplicaPonta",Mercado_Receita!$L$2:$L$345)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5"/>
      <c r="B15" s="75"/>
      <c r="C15" s="75"/>
      <c r="D15" s="75"/>
      <c r="E15" s="75"/>
      <c r="F15" s="75"/>
      <c r="G15" s="13" t="s">
        <v>83</v>
      </c>
      <c r="H15" s="13" t="s">
        <v>70</v>
      </c>
      <c r="I15" s="13">
        <f>SUMIF(Mercado_Receita!$S$2:$S$345,"44440B1BrancaResidencialResidencialNão se aplicaNão se aplicaIntermediário",Mercado_Receita!$L$2:$L$345)</f>
        <v>0</v>
      </c>
      <c r="J15" s="13">
        <f>SUMIF(Mercado_Receita!$S$2:$S$345,"44470B1BrancaResidencialResidencialNão se aplicaNão se aplicaIntermediário",Mercado_Receita!$L$2:$L$345)</f>
        <v>0</v>
      </c>
      <c r="K15" s="13">
        <f>SUMIF(Mercado_Receita!$S$2:$S$345,"44501B1BrancaResidencialResidencialNão se aplicaNão se aplicaIntermediário",Mercado_Receita!$L$2:$L$345)</f>
        <v>0</v>
      </c>
      <c r="L15" s="13">
        <f>SUMIF(Mercado_Receita!$S$2:$S$345,"44531B1BrancaResidencialResidencialNão se aplicaNão se aplicaIntermediário",Mercado_Receita!$L$2:$L$345)</f>
        <v>0</v>
      </c>
      <c r="M15" s="13">
        <f>SUMIF(Mercado_Receita!$S$2:$S$345,"44562B1BrancaResidencialResidencialNão se aplicaNão se aplicaIntermediário",Mercado_Receita!$L$2:$L$345)</f>
        <v>0</v>
      </c>
      <c r="N15" s="13">
        <f>SUMIF(Mercado_Receita!$S$2:$S$345,"44593B1BrancaResidencialResidencialNão se aplicaNão se aplicaIntermediário",Mercado_Receita!$L$2:$L$345)</f>
        <v>0</v>
      </c>
      <c r="O15" s="13">
        <f>SUMIF(Mercado_Receita!$S$2:$S$345,"44621B1BrancaResidencialResidencialNão se aplicaNão se aplicaIntermediário",Mercado_Receita!$L$2:$L$345)</f>
        <v>0</v>
      </c>
      <c r="P15" s="13">
        <f>SUMIF(Mercado_Receita!$S$2:$S$345,"44652B1BrancaResidencialResidencialNão se aplicaNão se aplicaIntermediário",Mercado_Receita!$L$2:$L$345)</f>
        <v>0</v>
      </c>
      <c r="Q15" s="13">
        <f>SUMIF(Mercado_Receita!$S$2:$S$345,"44682B1BrancaResidencialResidencialNão se aplicaNão se aplicaIntermediário",Mercado_Receita!$L$2:$L$345)</f>
        <v>0</v>
      </c>
      <c r="R15" s="13">
        <f>SUMIF(Mercado_Receita!$S$2:$S$345,"44713B1BrancaResidencialResidencialNão se aplicaNão se aplicaIntermediário",Mercado_Receita!$L$2:$L$345)</f>
        <v>0</v>
      </c>
      <c r="S15" s="13">
        <f>SUMIF(Mercado_Receita!$S$2:$S$345,"44743B1BrancaResidencialResidencialNão se aplicaNão se aplicaIntermediário",Mercado_Receita!$L$2:$L$345)</f>
        <v>0</v>
      </c>
      <c r="T15" s="13">
        <f>SUMIF(Mercado_Receita!$S$2:$S$345,"44774B1BrancaResidencialResidencialNão se aplicaNão se aplicaIntermediário",Mercado_Receita!$L$2:$L$345)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5"/>
      <c r="B16" s="75"/>
      <c r="C16" s="75"/>
      <c r="D16" s="75"/>
      <c r="E16" s="75"/>
      <c r="F16" s="75"/>
      <c r="G16" s="13" t="s">
        <v>72</v>
      </c>
      <c r="H16" s="13" t="s">
        <v>70</v>
      </c>
      <c r="I16" s="13">
        <f>SUMIF(Mercado_Receita!$S$2:$S$345,"44440B1BrancaResidencialResidencialNão se aplicaNão se aplicaFora ponta",Mercado_Receita!$L$2:$L$345)</f>
        <v>0</v>
      </c>
      <c r="J16" s="13">
        <f>SUMIF(Mercado_Receita!$S$2:$S$345,"44470B1BrancaResidencialResidencialNão se aplicaNão se aplicaFora ponta",Mercado_Receita!$L$2:$L$345)</f>
        <v>0</v>
      </c>
      <c r="K16" s="13">
        <f>SUMIF(Mercado_Receita!$S$2:$S$345,"44501B1BrancaResidencialResidencialNão se aplicaNão se aplicaFora ponta",Mercado_Receita!$L$2:$L$345)</f>
        <v>0</v>
      </c>
      <c r="L16" s="13">
        <f>SUMIF(Mercado_Receita!$S$2:$S$345,"44531B1BrancaResidencialResidencialNão se aplicaNão se aplicaFora ponta",Mercado_Receita!$L$2:$L$345)</f>
        <v>0</v>
      </c>
      <c r="M16" s="13">
        <f>SUMIF(Mercado_Receita!$S$2:$S$345,"44562B1BrancaResidencialResidencialNão se aplicaNão se aplicaFora ponta",Mercado_Receita!$L$2:$L$345)</f>
        <v>0</v>
      </c>
      <c r="N16" s="13">
        <f>SUMIF(Mercado_Receita!$S$2:$S$345,"44593B1BrancaResidencialResidencialNão se aplicaNão se aplicaFora ponta",Mercado_Receita!$L$2:$L$345)</f>
        <v>0</v>
      </c>
      <c r="O16" s="13">
        <f>SUMIF(Mercado_Receita!$S$2:$S$345,"44621B1BrancaResidencialResidencialNão se aplicaNão se aplicaFora ponta",Mercado_Receita!$L$2:$L$345)</f>
        <v>0</v>
      </c>
      <c r="P16" s="13">
        <f>SUMIF(Mercado_Receita!$S$2:$S$345,"44652B1BrancaResidencialResidencialNão se aplicaNão se aplicaFora ponta",Mercado_Receita!$L$2:$L$345)</f>
        <v>0</v>
      </c>
      <c r="Q16" s="13">
        <f>SUMIF(Mercado_Receita!$S$2:$S$345,"44682B1BrancaResidencialResidencialNão se aplicaNão se aplicaFora ponta",Mercado_Receita!$L$2:$L$345)</f>
        <v>0</v>
      </c>
      <c r="R16" s="13">
        <f>SUMIF(Mercado_Receita!$S$2:$S$345,"44713B1BrancaResidencialResidencialNão se aplicaNão se aplicaFora ponta",Mercado_Receita!$L$2:$L$345)</f>
        <v>0</v>
      </c>
      <c r="S16" s="13">
        <f>SUMIF(Mercado_Receita!$S$2:$S$345,"44743B1BrancaResidencialResidencialNão se aplicaNão se aplicaFora ponta",Mercado_Receita!$L$2:$L$345)</f>
        <v>0</v>
      </c>
      <c r="T16" s="13">
        <f>SUMIF(Mercado_Receita!$S$2:$S$345,"44774B1BrancaResidencialResidencialNão se aplicaNão se aplicaFora ponta",Mercado_Receita!$L$2:$L$345)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5"/>
      <c r="B17" s="74" t="s">
        <v>23</v>
      </c>
      <c r="C17" s="74" t="s">
        <v>24</v>
      </c>
      <c r="D17" s="12" t="s">
        <v>24</v>
      </c>
      <c r="E17" s="12" t="s">
        <v>25</v>
      </c>
      <c r="F17" s="12" t="s">
        <v>25</v>
      </c>
      <c r="G17" s="13" t="s">
        <v>77</v>
      </c>
      <c r="H17" s="13" t="s">
        <v>70</v>
      </c>
      <c r="I17" s="13">
        <f>SUMIF(Mercado_Receita!$S$2:$S$345,"44440B1ConvencionalResidencialResidencialNão se aplicaNão se aplicaPonta",Mercado_Receita!$L$2:$L$345)+SUMIF(Mercado_Receita!$S$2:$S$345,"44440B1ConvencionalResidencialResidencialNão se aplicaNão se aplicaFora ponta",Mercado_Receita!$L$2:$L$345)+SUMIF(Mercado_Receita!$S$2:$S$345,"44440B1ConvencionalResidencialResidencialNão se aplicaNão se aplicaIntermediário",Mercado_Receita!$L$2:$L$345)+SUMIF(Mercado_Receita!$S$2:$S$345,"44440B1ConvencionalResidencialResidencialNão se aplicaNão se aplicaNão se aplica",Mercado_Receita!$L$2:$L$345)</f>
        <v>828.11400000000003</v>
      </c>
      <c r="J17" s="13">
        <f>SUMIF(Mercado_Receita!$S$2:$S$345,"44470B1ConvencionalResidencialResidencialNão se aplicaNão se aplicaPonta",Mercado_Receita!$L$2:$L$345)+SUMIF(Mercado_Receita!$S$2:$S$345,"44470B1ConvencionalResidencialResidencialNão se aplicaNão se aplicaFora ponta",Mercado_Receita!$L$2:$L$345)+SUMIF(Mercado_Receita!$S$2:$S$345,"44470B1ConvencionalResidencialResidencialNão se aplicaNão se aplicaIntermediário",Mercado_Receita!$L$2:$L$345)+SUMIF(Mercado_Receita!$S$2:$S$345,"44470B1ConvencionalResidencialResidencialNão se aplicaNão se aplicaNão se aplica",Mercado_Receita!$L$2:$L$345)</f>
        <v>713.26400000000001</v>
      </c>
      <c r="K17" s="13">
        <f>SUMIF(Mercado_Receita!$S$2:$S$345,"44501B1ConvencionalResidencialResidencialNão se aplicaNão se aplicaPonta",Mercado_Receita!$L$2:$L$345)+SUMIF(Mercado_Receita!$S$2:$S$345,"44501B1ConvencionalResidencialResidencialNão se aplicaNão se aplicaFora ponta",Mercado_Receita!$L$2:$L$345)+SUMIF(Mercado_Receita!$S$2:$S$345,"44501B1ConvencionalResidencialResidencialNão se aplicaNão se aplicaIntermediário",Mercado_Receita!$L$2:$L$345)+SUMIF(Mercado_Receita!$S$2:$S$345,"44501B1ConvencionalResidencialResidencialNão se aplicaNão se aplicaNão se aplica",Mercado_Receita!$L$2:$L$345)</f>
        <v>811.76600000000008</v>
      </c>
      <c r="L17" s="13">
        <f>SUMIF(Mercado_Receita!$S$2:$S$345,"44531B1ConvencionalResidencialResidencialNão se aplicaNão se aplicaPonta",Mercado_Receita!$L$2:$L$345)+SUMIF(Mercado_Receita!$S$2:$S$345,"44531B1ConvencionalResidencialResidencialNão se aplicaNão se aplicaFora ponta",Mercado_Receita!$L$2:$L$345)+SUMIF(Mercado_Receita!$S$2:$S$345,"44531B1ConvencionalResidencialResidencialNão se aplicaNão se aplicaIntermediário",Mercado_Receita!$L$2:$L$345)+SUMIF(Mercado_Receita!$S$2:$S$345,"44531B1ConvencionalResidencialResidencialNão se aplicaNão se aplicaNão se aplica",Mercado_Receita!$L$2:$L$345)</f>
        <v>940.28199999999993</v>
      </c>
      <c r="M17" s="13">
        <f>SUMIF(Mercado_Receita!$S$2:$S$345,"44562B1ConvencionalResidencialResidencialNão se aplicaNão se aplicaPonta",Mercado_Receita!$L$2:$L$345)+SUMIF(Mercado_Receita!$S$2:$S$345,"44562B1ConvencionalResidencialResidencialNão se aplicaNão se aplicaFora ponta",Mercado_Receita!$L$2:$L$345)+SUMIF(Mercado_Receita!$S$2:$S$345,"44562B1ConvencionalResidencialResidencialNão se aplicaNão se aplicaIntermediário",Mercado_Receita!$L$2:$L$345)+SUMIF(Mercado_Receita!$S$2:$S$345,"44562B1ConvencionalResidencialResidencialNão se aplicaNão se aplicaNão se aplica",Mercado_Receita!$L$2:$L$345)</f>
        <v>1085.8879999999999</v>
      </c>
      <c r="N17" s="13">
        <f>SUMIF(Mercado_Receita!$S$2:$S$345,"44593B1ConvencionalResidencialResidencialNão se aplicaNão se aplicaPonta",Mercado_Receita!$L$2:$L$345)+SUMIF(Mercado_Receita!$S$2:$S$345,"44593B1ConvencionalResidencialResidencialNão se aplicaNão se aplicaFora ponta",Mercado_Receita!$L$2:$L$345)+SUMIF(Mercado_Receita!$S$2:$S$345,"44593B1ConvencionalResidencialResidencialNão se aplicaNão se aplicaIntermediário",Mercado_Receita!$L$2:$L$345)+SUMIF(Mercado_Receita!$S$2:$S$345,"44593B1ConvencionalResidencialResidencialNão se aplicaNão se aplicaNão se aplica",Mercado_Receita!$L$2:$L$345)</f>
        <v>882.59699999999998</v>
      </c>
      <c r="O17" s="13">
        <f>SUMIF(Mercado_Receita!$S$2:$S$345,"44621B1ConvencionalResidencialResidencialNão se aplicaNão se aplicaPonta",Mercado_Receita!$L$2:$L$345)+SUMIF(Mercado_Receita!$S$2:$S$345,"44621B1ConvencionalResidencialResidencialNão se aplicaNão se aplicaFora ponta",Mercado_Receita!$L$2:$L$345)+SUMIF(Mercado_Receita!$S$2:$S$345,"44621B1ConvencionalResidencialResidencialNão se aplicaNão se aplicaIntermediário",Mercado_Receita!$L$2:$L$345)+SUMIF(Mercado_Receita!$S$2:$S$345,"44621B1ConvencionalResidencialResidencialNão se aplicaNão se aplicaNão se aplica",Mercado_Receita!$L$2:$L$345)</f>
        <v>907.07299999999998</v>
      </c>
      <c r="P17" s="13">
        <f>SUMIF(Mercado_Receita!$S$2:$S$345,"44652B1ConvencionalResidencialResidencialNão se aplicaNão se aplicaPonta",Mercado_Receita!$L$2:$L$345)+SUMIF(Mercado_Receita!$S$2:$S$345,"44652B1ConvencionalResidencialResidencialNão se aplicaNão se aplicaFora ponta",Mercado_Receita!$L$2:$L$345)+SUMIF(Mercado_Receita!$S$2:$S$345,"44652B1ConvencionalResidencialResidencialNão se aplicaNão se aplicaIntermediário",Mercado_Receita!$L$2:$L$345)+SUMIF(Mercado_Receita!$S$2:$S$345,"44652B1ConvencionalResidencialResidencialNão se aplicaNão se aplicaNão se aplica",Mercado_Receita!$L$2:$L$345)</f>
        <v>799.77200000000005</v>
      </c>
      <c r="Q17" s="13">
        <f>SUMIF(Mercado_Receita!$S$2:$S$345,"44682B1ConvencionalResidencialResidencialNão se aplicaNão se aplicaPonta",Mercado_Receita!$L$2:$L$345)+SUMIF(Mercado_Receita!$S$2:$S$345,"44682B1ConvencionalResidencialResidencialNão se aplicaNão se aplicaFora ponta",Mercado_Receita!$L$2:$L$345)+SUMIF(Mercado_Receita!$S$2:$S$345,"44682B1ConvencionalResidencialResidencialNão se aplicaNão se aplicaIntermediário",Mercado_Receita!$L$2:$L$345)+SUMIF(Mercado_Receita!$S$2:$S$345,"44682B1ConvencionalResidencialResidencialNão se aplicaNão se aplicaNão se aplica",Mercado_Receita!$L$2:$L$345)</f>
        <v>757.29</v>
      </c>
      <c r="R17" s="13">
        <f>SUMIF(Mercado_Receita!$S$2:$S$345,"44713B1ConvencionalResidencialResidencialNão se aplicaNão se aplicaPonta",Mercado_Receita!$L$2:$L$345)+SUMIF(Mercado_Receita!$S$2:$S$345,"44713B1ConvencionalResidencialResidencialNão se aplicaNão se aplicaFora ponta",Mercado_Receita!$L$2:$L$345)+SUMIF(Mercado_Receita!$S$2:$S$345,"44713B1ConvencionalResidencialResidencialNão se aplicaNão se aplicaIntermediário",Mercado_Receita!$L$2:$L$345)+SUMIF(Mercado_Receita!$S$2:$S$345,"44713B1ConvencionalResidencialResidencialNão se aplicaNão se aplicaNão se aplica",Mercado_Receita!$L$2:$L$345)</f>
        <v>856.41499999999996</v>
      </c>
      <c r="S17" s="13">
        <f>SUMIF(Mercado_Receita!$S$2:$S$345,"44743B1ConvencionalResidencialResidencialNão se aplicaNão se aplicaPonta",Mercado_Receita!$L$2:$L$345)+SUMIF(Mercado_Receita!$S$2:$S$345,"44743B1ConvencionalResidencialResidencialNão se aplicaNão se aplicaFora ponta",Mercado_Receita!$L$2:$L$345)+SUMIF(Mercado_Receita!$S$2:$S$345,"44743B1ConvencionalResidencialResidencialNão se aplicaNão se aplicaIntermediário",Mercado_Receita!$L$2:$L$345)+SUMIF(Mercado_Receita!$S$2:$S$345,"44743B1ConvencionalResidencialResidencialNão se aplicaNão se aplicaNão se aplica",Mercado_Receita!$L$2:$L$345)</f>
        <v>730.08799999999997</v>
      </c>
      <c r="T17" s="13">
        <f>SUMIF(Mercado_Receita!$S$2:$S$345,"44774B1ConvencionalResidencialResidencialNão se aplicaNão se aplicaPonta",Mercado_Receita!$L$2:$L$345)+SUMIF(Mercado_Receita!$S$2:$S$345,"44774B1ConvencionalResidencialResidencialNão se aplicaNão se aplicaFora ponta",Mercado_Receita!$L$2:$L$345)+SUMIF(Mercado_Receita!$S$2:$S$345,"44774B1ConvencionalResidencialResidencialNão se aplicaNão se aplicaIntermediário",Mercado_Receita!$L$2:$L$345)+SUMIF(Mercado_Receita!$S$2:$S$345,"44774B1ConvencionalResidencialResidencialNão se aplicaNão se aplicaNão se aplica",Mercado_Receita!$L$2:$L$345)</f>
        <v>809.51200000000006</v>
      </c>
      <c r="U17" s="13">
        <f t="shared" si="0"/>
        <v>10122.061</v>
      </c>
      <c r="V17" s="13"/>
      <c r="W17" s="13"/>
    </row>
    <row r="18" spans="1:23" ht="11.25" customHeight="1" x14ac:dyDescent="0.25">
      <c r="A18" s="75"/>
      <c r="B18" s="75"/>
      <c r="C18" s="75"/>
      <c r="D18" s="12" t="s">
        <v>29</v>
      </c>
      <c r="E18" s="12" t="s">
        <v>25</v>
      </c>
      <c r="F18" s="12" t="s">
        <v>25</v>
      </c>
      <c r="G18" s="13" t="s">
        <v>77</v>
      </c>
      <c r="H18" s="13" t="s">
        <v>70</v>
      </c>
      <c r="I18" s="13">
        <f>SUMIF(Mercado_Receita!$S$2:$S$345,"44440B1ConvencionalResidencialResidencial baixa renda – faixa 01Não se aplicaNão se aplicaPonta",Mercado_Receita!$L$2:$L$345)+SUMIF(Mercado_Receita!$S$2:$S$345,"44440B1ConvencionalResidencialResidencial baixa renda – faixa 01Não se aplicaNão se aplicaFora ponta",Mercado_Receita!$L$2:$L$345)+SUMIF(Mercado_Receita!$S$2:$S$345,"44440B1ConvencionalResidencialResidencial baixa renda – faixa 01Não se aplicaNão se aplicaIntermediário",Mercado_Receita!$L$2:$L$345)+SUMIF(Mercado_Receita!$S$2:$S$345,"44440B1ConvencionalResidencialResidencial baixa renda – faixa 01Não se aplicaNão se aplicaNão se aplica",Mercado_Receita!$L$2:$L$345)</f>
        <v>5.91</v>
      </c>
      <c r="J18" s="13">
        <f>SUMIF(Mercado_Receita!$S$2:$S$345,"44470B1ConvencionalResidencialResidencial baixa renda – faixa 01Não se aplicaNão se aplicaPonta",Mercado_Receita!$L$2:$L$345)+SUMIF(Mercado_Receita!$S$2:$S$345,"44470B1ConvencionalResidencialResidencial baixa renda – faixa 01Não se aplicaNão se aplicaFora ponta",Mercado_Receita!$L$2:$L$345)+SUMIF(Mercado_Receita!$S$2:$S$345,"44470B1ConvencionalResidencialResidencial baixa renda – faixa 01Não se aplicaNão se aplicaIntermediário",Mercado_Receita!$L$2:$L$345)+SUMIF(Mercado_Receita!$S$2:$S$345,"44470B1ConvencionalResidencialResidencial baixa renda – faixa 01Não se aplicaNão se aplicaNão se aplica",Mercado_Receita!$L$2:$L$345)</f>
        <v>5.97</v>
      </c>
      <c r="K18" s="13">
        <f>SUMIF(Mercado_Receita!$S$2:$S$345,"44501B1ConvencionalResidencialResidencial baixa renda – faixa 01Não se aplicaNão se aplicaPonta",Mercado_Receita!$L$2:$L$345)+SUMIF(Mercado_Receita!$S$2:$S$345,"44501B1ConvencionalResidencialResidencial baixa renda – faixa 01Não se aplicaNão se aplicaFora ponta",Mercado_Receita!$L$2:$L$345)+SUMIF(Mercado_Receita!$S$2:$S$345,"44501B1ConvencionalResidencialResidencial baixa renda – faixa 01Não se aplicaNão se aplicaIntermediário",Mercado_Receita!$L$2:$L$345)+SUMIF(Mercado_Receita!$S$2:$S$345,"44501B1ConvencionalResidencialResidencial baixa renda – faixa 01Não se aplicaNão se aplicaNão se aplica",Mercado_Receita!$L$2:$L$345)</f>
        <v>5.97</v>
      </c>
      <c r="L18" s="13">
        <f>SUMIF(Mercado_Receita!$S$2:$S$345,"44531B1ConvencionalResidencialResidencial baixa renda – faixa 01Não se aplicaNão se aplicaPonta",Mercado_Receita!$L$2:$L$345)+SUMIF(Mercado_Receita!$S$2:$S$345,"44531B1ConvencionalResidencialResidencial baixa renda – faixa 01Não se aplicaNão se aplicaFora ponta",Mercado_Receita!$L$2:$L$345)+SUMIF(Mercado_Receita!$S$2:$S$345,"44531B1ConvencionalResidencialResidencial baixa renda – faixa 01Não se aplicaNão se aplicaIntermediário",Mercado_Receita!$L$2:$L$345)+SUMIF(Mercado_Receita!$S$2:$S$345,"44531B1ConvencionalResidencialResidencial baixa renda – faixa 01Não se aplicaNão se aplicaNão se aplica",Mercado_Receita!$L$2:$L$345)</f>
        <v>6.3</v>
      </c>
      <c r="M18" s="13">
        <f>SUMIF(Mercado_Receita!$S$2:$S$345,"44562B1ConvencionalResidencialResidencial baixa renda – faixa 01Não se aplicaNão se aplicaPonta",Mercado_Receita!$L$2:$L$345)+SUMIF(Mercado_Receita!$S$2:$S$345,"44562B1ConvencionalResidencialResidencial baixa renda – faixa 01Não se aplicaNão se aplicaFora ponta",Mercado_Receita!$L$2:$L$345)+SUMIF(Mercado_Receita!$S$2:$S$345,"44562B1ConvencionalResidencialResidencial baixa renda – faixa 01Não se aplicaNão se aplicaIntermediário",Mercado_Receita!$L$2:$L$345)+SUMIF(Mercado_Receita!$S$2:$S$345,"44562B1ConvencionalResidencialResidencial baixa renda – faixa 01Não se aplicaNão se aplicaNão se aplica",Mercado_Receita!$L$2:$L$345)</f>
        <v>6.39</v>
      </c>
      <c r="N18" s="13">
        <f>SUMIF(Mercado_Receita!$S$2:$S$345,"44593B1ConvencionalResidencialResidencial baixa renda – faixa 01Não se aplicaNão se aplicaPonta",Mercado_Receita!$L$2:$L$345)+SUMIF(Mercado_Receita!$S$2:$S$345,"44593B1ConvencionalResidencialResidencial baixa renda – faixa 01Não se aplicaNão se aplicaFora ponta",Mercado_Receita!$L$2:$L$345)+SUMIF(Mercado_Receita!$S$2:$S$345,"44593B1ConvencionalResidencialResidencial baixa renda – faixa 01Não se aplicaNão se aplicaIntermediário",Mercado_Receita!$L$2:$L$345)+SUMIF(Mercado_Receita!$S$2:$S$345,"44593B1ConvencionalResidencialResidencial baixa renda – faixa 01Não se aplicaNão se aplicaNão se aplica",Mercado_Receita!$L$2:$L$345)</f>
        <v>12.179</v>
      </c>
      <c r="O18" s="13">
        <f>SUMIF(Mercado_Receita!$S$2:$S$345,"44621B1ConvencionalResidencialResidencial baixa renda – faixa 01Não se aplicaNão se aplicaPonta",Mercado_Receita!$L$2:$L$345)+SUMIF(Mercado_Receita!$S$2:$S$345,"44621B1ConvencionalResidencialResidencial baixa renda – faixa 01Não se aplicaNão se aplicaFora ponta",Mercado_Receita!$L$2:$L$345)+SUMIF(Mercado_Receita!$S$2:$S$345,"44621B1ConvencionalResidencialResidencial baixa renda – faixa 01Não se aplicaNão se aplicaIntermediário",Mercado_Receita!$L$2:$L$345)+SUMIF(Mercado_Receita!$S$2:$S$345,"44621B1ConvencionalResidencialResidencial baixa renda – faixa 01Não se aplicaNão se aplicaNão se aplica",Mercado_Receita!$L$2:$L$345)</f>
        <v>13.053000000000001</v>
      </c>
      <c r="P18" s="13">
        <f>SUMIF(Mercado_Receita!$S$2:$S$345,"44652B1ConvencionalResidencialResidencial baixa renda – faixa 01Não se aplicaNão se aplicaPonta",Mercado_Receita!$L$2:$L$345)+SUMIF(Mercado_Receita!$S$2:$S$345,"44652B1ConvencionalResidencialResidencial baixa renda – faixa 01Não se aplicaNão se aplicaFora ponta",Mercado_Receita!$L$2:$L$345)+SUMIF(Mercado_Receita!$S$2:$S$345,"44652B1ConvencionalResidencialResidencial baixa renda – faixa 01Não se aplicaNão se aplicaIntermediário",Mercado_Receita!$L$2:$L$345)+SUMIF(Mercado_Receita!$S$2:$S$345,"44652B1ConvencionalResidencialResidencial baixa renda – faixa 01Não se aplicaNão se aplicaNão se aplica",Mercado_Receita!$L$2:$L$345)</f>
        <v>13.14</v>
      </c>
      <c r="Q18" s="13">
        <f>SUMIF(Mercado_Receita!$S$2:$S$345,"44682B1ConvencionalResidencialResidencial baixa renda – faixa 01Não se aplicaNão se aplicaPonta",Mercado_Receita!$L$2:$L$345)+SUMIF(Mercado_Receita!$S$2:$S$345,"44682B1ConvencionalResidencialResidencial baixa renda – faixa 01Não se aplicaNão se aplicaFora ponta",Mercado_Receita!$L$2:$L$345)+SUMIF(Mercado_Receita!$S$2:$S$345,"44682B1ConvencionalResidencialResidencial baixa renda – faixa 01Não se aplicaNão se aplicaIntermediário",Mercado_Receita!$L$2:$L$345)+SUMIF(Mercado_Receita!$S$2:$S$345,"44682B1ConvencionalResidencialResidencial baixa renda – faixa 01Não se aplicaNão se aplicaNão se aplica",Mercado_Receita!$L$2:$L$345)</f>
        <v>12.45</v>
      </c>
      <c r="R18" s="13">
        <f>SUMIF(Mercado_Receita!$S$2:$S$345,"44713B1ConvencionalResidencialResidencial baixa renda – faixa 01Não se aplicaNão se aplicaPonta",Mercado_Receita!$L$2:$L$345)+SUMIF(Mercado_Receita!$S$2:$S$345,"44713B1ConvencionalResidencialResidencial baixa renda – faixa 01Não se aplicaNão se aplicaFora ponta",Mercado_Receita!$L$2:$L$345)+SUMIF(Mercado_Receita!$S$2:$S$345,"44713B1ConvencionalResidencialResidencial baixa renda – faixa 01Não se aplicaNão se aplicaIntermediário",Mercado_Receita!$L$2:$L$345)+SUMIF(Mercado_Receita!$S$2:$S$345,"44713B1ConvencionalResidencialResidencial baixa renda – faixa 01Não se aplicaNão se aplicaNão se aplica",Mercado_Receita!$L$2:$L$345)</f>
        <v>10.65</v>
      </c>
      <c r="S18" s="13">
        <f>SUMIF(Mercado_Receita!$S$2:$S$345,"44743B1ConvencionalResidencialResidencial baixa renda – faixa 01Não se aplicaNão se aplicaPonta",Mercado_Receita!$L$2:$L$345)+SUMIF(Mercado_Receita!$S$2:$S$345,"44743B1ConvencionalResidencialResidencial baixa renda – faixa 01Não se aplicaNão se aplicaFora ponta",Mercado_Receita!$L$2:$L$345)+SUMIF(Mercado_Receita!$S$2:$S$345,"44743B1ConvencionalResidencialResidencial baixa renda – faixa 01Não se aplicaNão se aplicaIntermediário",Mercado_Receita!$L$2:$L$345)+SUMIF(Mercado_Receita!$S$2:$S$345,"44743B1ConvencionalResidencialResidencial baixa renda – faixa 01Não se aplicaNão se aplicaNão se aplica",Mercado_Receita!$L$2:$L$345)</f>
        <v>9.48</v>
      </c>
      <c r="T18" s="13">
        <f>SUMIF(Mercado_Receita!$S$2:$S$345,"44774B1ConvencionalResidencialResidencial baixa renda – faixa 01Não se aplicaNão se aplicaPonta",Mercado_Receita!$L$2:$L$345)+SUMIF(Mercado_Receita!$S$2:$S$345,"44774B1ConvencionalResidencialResidencial baixa renda – faixa 01Não se aplicaNão se aplicaFora ponta",Mercado_Receita!$L$2:$L$345)+SUMIF(Mercado_Receita!$S$2:$S$345,"44774B1ConvencionalResidencialResidencial baixa renda – faixa 01Não se aplicaNão se aplicaIntermediário",Mercado_Receita!$L$2:$L$345)+SUMIF(Mercado_Receita!$S$2:$S$345,"44774B1ConvencionalResidencialResidencial baixa renda – faixa 01Não se aplicaNão se aplicaNão se aplica",Mercado_Receita!$L$2:$L$345)</f>
        <v>9.6300000000000008</v>
      </c>
      <c r="U18" s="13">
        <f t="shared" si="0"/>
        <v>111.12200000000001</v>
      </c>
      <c r="V18" s="13"/>
      <c r="W18" s="13"/>
    </row>
    <row r="19" spans="1:23" ht="11.25" customHeight="1" x14ac:dyDescent="0.25">
      <c r="A19" s="75"/>
      <c r="B19" s="75"/>
      <c r="C19" s="75"/>
      <c r="D19" s="12" t="s">
        <v>30</v>
      </c>
      <c r="E19" s="12" t="s">
        <v>25</v>
      </c>
      <c r="F19" s="12" t="s">
        <v>25</v>
      </c>
      <c r="G19" s="13" t="s">
        <v>77</v>
      </c>
      <c r="H19" s="13" t="s">
        <v>70</v>
      </c>
      <c r="I19" s="13">
        <f>SUMIF(Mercado_Receita!$S$2:$S$345,"44440B1ConvencionalResidencialResidencial baixa renda – faixa 02Não se aplicaNão se aplicaPonta",Mercado_Receita!$L$2:$L$345)+SUMIF(Mercado_Receita!$S$2:$S$345,"44440B1ConvencionalResidencialResidencial baixa renda – faixa 02Não se aplicaNão se aplicaFora ponta",Mercado_Receita!$L$2:$L$345)+SUMIF(Mercado_Receita!$S$2:$S$345,"44440B1ConvencionalResidencialResidencial baixa renda – faixa 02Não se aplicaNão se aplicaIntermediário",Mercado_Receita!$L$2:$L$345)+SUMIF(Mercado_Receita!$S$2:$S$345,"44440B1ConvencionalResidencialResidencial baixa renda – faixa 02Não se aplicaNão se aplicaNão se aplica",Mercado_Receita!$L$2:$L$345)</f>
        <v>12.31</v>
      </c>
      <c r="J19" s="13">
        <f>SUMIF(Mercado_Receita!$S$2:$S$345,"44470B1ConvencionalResidencialResidencial baixa renda – faixa 02Não se aplicaNão se aplicaPonta",Mercado_Receita!$L$2:$L$345)+SUMIF(Mercado_Receita!$S$2:$S$345,"44470B1ConvencionalResidencialResidencial baixa renda – faixa 02Não se aplicaNão se aplicaFora ponta",Mercado_Receita!$L$2:$L$345)+SUMIF(Mercado_Receita!$S$2:$S$345,"44470B1ConvencionalResidencialResidencial baixa renda – faixa 02Não se aplicaNão se aplicaIntermediário",Mercado_Receita!$L$2:$L$345)+SUMIF(Mercado_Receita!$S$2:$S$345,"44470B1ConvencionalResidencialResidencial baixa renda – faixa 02Não se aplicaNão se aplicaNão se aplica",Mercado_Receita!$L$2:$L$345)</f>
        <v>11.971</v>
      </c>
      <c r="K19" s="13">
        <f>SUMIF(Mercado_Receita!$S$2:$S$345,"44501B1ConvencionalResidencialResidencial baixa renda – faixa 02Não se aplicaNão se aplicaPonta",Mercado_Receita!$L$2:$L$345)+SUMIF(Mercado_Receita!$S$2:$S$345,"44501B1ConvencionalResidencialResidencial baixa renda – faixa 02Não se aplicaNão se aplicaFora ponta",Mercado_Receita!$L$2:$L$345)+SUMIF(Mercado_Receita!$S$2:$S$345,"44501B1ConvencionalResidencialResidencial baixa renda – faixa 02Não se aplicaNão se aplicaIntermediário",Mercado_Receita!$L$2:$L$345)+SUMIF(Mercado_Receita!$S$2:$S$345,"44501B1ConvencionalResidencialResidencial baixa renda – faixa 02Não se aplicaNão se aplicaNão se aplica",Mercado_Receita!$L$2:$L$345)</f>
        <v>12.382</v>
      </c>
      <c r="L19" s="13">
        <f>SUMIF(Mercado_Receita!$S$2:$S$345,"44531B1ConvencionalResidencialResidencial baixa renda – faixa 02Não se aplicaNão se aplicaPonta",Mercado_Receita!$L$2:$L$345)+SUMIF(Mercado_Receita!$S$2:$S$345,"44531B1ConvencionalResidencialResidencial baixa renda – faixa 02Não se aplicaNão se aplicaFora ponta",Mercado_Receita!$L$2:$L$345)+SUMIF(Mercado_Receita!$S$2:$S$345,"44531B1ConvencionalResidencialResidencial baixa renda – faixa 02Não se aplicaNão se aplicaIntermediário",Mercado_Receita!$L$2:$L$345)+SUMIF(Mercado_Receita!$S$2:$S$345,"44531B1ConvencionalResidencialResidencial baixa renda – faixa 02Não se aplicaNão se aplicaNão se aplica",Mercado_Receita!$L$2:$L$345)</f>
        <v>13.146000000000001</v>
      </c>
      <c r="M19" s="13">
        <f>SUMIF(Mercado_Receita!$S$2:$S$345,"44562B1ConvencionalResidencialResidencial baixa renda – faixa 02Não se aplicaNão se aplicaPonta",Mercado_Receita!$L$2:$L$345)+SUMIF(Mercado_Receita!$S$2:$S$345,"44562B1ConvencionalResidencialResidencial baixa renda – faixa 02Não se aplicaNão se aplicaFora ponta",Mercado_Receita!$L$2:$L$345)+SUMIF(Mercado_Receita!$S$2:$S$345,"44562B1ConvencionalResidencialResidencial baixa renda – faixa 02Não se aplicaNão se aplicaIntermediário",Mercado_Receita!$L$2:$L$345)+SUMIF(Mercado_Receita!$S$2:$S$345,"44562B1ConvencionalResidencialResidencial baixa renda – faixa 02Não se aplicaNão se aplicaNão se aplica",Mercado_Receita!$L$2:$L$345)</f>
        <v>13.582000000000001</v>
      </c>
      <c r="N19" s="13">
        <f>SUMIF(Mercado_Receita!$S$2:$S$345,"44593B1ConvencionalResidencialResidencial baixa renda – faixa 02Não se aplicaNão se aplicaPonta",Mercado_Receita!$L$2:$L$345)+SUMIF(Mercado_Receita!$S$2:$S$345,"44593B1ConvencionalResidencialResidencial baixa renda – faixa 02Não se aplicaNão se aplicaFora ponta",Mercado_Receita!$L$2:$L$345)+SUMIF(Mercado_Receita!$S$2:$S$345,"44593B1ConvencionalResidencialResidencial baixa renda – faixa 02Não se aplicaNão se aplicaIntermediário",Mercado_Receita!$L$2:$L$345)+SUMIF(Mercado_Receita!$S$2:$S$345,"44593B1ConvencionalResidencialResidencial baixa renda – faixa 02Não se aplicaNão se aplicaNão se aplica",Mercado_Receita!$L$2:$L$345)</f>
        <v>24.603000000000002</v>
      </c>
      <c r="O19" s="13">
        <f>SUMIF(Mercado_Receita!$S$2:$S$345,"44621B1ConvencionalResidencialResidencial baixa renda – faixa 02Não se aplicaNão se aplicaPonta",Mercado_Receita!$L$2:$L$345)+SUMIF(Mercado_Receita!$S$2:$S$345,"44621B1ConvencionalResidencialResidencial baixa renda – faixa 02Não se aplicaNão se aplicaFora ponta",Mercado_Receita!$L$2:$L$345)+SUMIF(Mercado_Receita!$S$2:$S$345,"44621B1ConvencionalResidencialResidencial baixa renda – faixa 02Não se aplicaNão se aplicaIntermediário",Mercado_Receita!$L$2:$L$345)+SUMIF(Mercado_Receita!$S$2:$S$345,"44621B1ConvencionalResidencialResidencial baixa renda – faixa 02Não se aplicaNão se aplicaNão se aplica",Mercado_Receita!$L$2:$L$345)</f>
        <v>26.404</v>
      </c>
      <c r="P19" s="13">
        <f>SUMIF(Mercado_Receita!$S$2:$S$345,"44652B1ConvencionalResidencialResidencial baixa renda – faixa 02Não se aplicaNão se aplicaPonta",Mercado_Receita!$L$2:$L$345)+SUMIF(Mercado_Receita!$S$2:$S$345,"44652B1ConvencionalResidencialResidencial baixa renda – faixa 02Não se aplicaNão se aplicaFora ponta",Mercado_Receita!$L$2:$L$345)+SUMIF(Mercado_Receita!$S$2:$S$345,"44652B1ConvencionalResidencialResidencial baixa renda – faixa 02Não se aplicaNão se aplicaIntermediário",Mercado_Receita!$L$2:$L$345)+SUMIF(Mercado_Receita!$S$2:$S$345,"44652B1ConvencionalResidencialResidencial baixa renda – faixa 02Não se aplicaNão se aplicaNão se aplica",Mercado_Receita!$L$2:$L$345)</f>
        <v>26.151</v>
      </c>
      <c r="Q19" s="13">
        <f>SUMIF(Mercado_Receita!$S$2:$S$345,"44682B1ConvencionalResidencialResidencial baixa renda – faixa 02Não se aplicaNão se aplicaPonta",Mercado_Receita!$L$2:$L$345)+SUMIF(Mercado_Receita!$S$2:$S$345,"44682B1ConvencionalResidencialResidencial baixa renda – faixa 02Não se aplicaNão se aplicaFora ponta",Mercado_Receita!$L$2:$L$345)+SUMIF(Mercado_Receita!$S$2:$S$345,"44682B1ConvencionalResidencialResidencial baixa renda – faixa 02Não se aplicaNão se aplicaIntermediário",Mercado_Receita!$L$2:$L$345)+SUMIF(Mercado_Receita!$S$2:$S$345,"44682B1ConvencionalResidencialResidencial baixa renda – faixa 02Não se aplicaNão se aplicaNão se aplica",Mercado_Receita!$L$2:$L$345)</f>
        <v>24.312000000000001</v>
      </c>
      <c r="R19" s="13">
        <f>SUMIF(Mercado_Receita!$S$2:$S$345,"44713B1ConvencionalResidencialResidencial baixa renda – faixa 02Não se aplicaNão se aplicaPonta",Mercado_Receita!$L$2:$L$345)+SUMIF(Mercado_Receita!$S$2:$S$345,"44713B1ConvencionalResidencialResidencial baixa renda – faixa 02Não se aplicaNão se aplicaFora ponta",Mercado_Receita!$L$2:$L$345)+SUMIF(Mercado_Receita!$S$2:$S$345,"44713B1ConvencionalResidencialResidencial baixa renda – faixa 02Não se aplicaNão se aplicaIntermediário",Mercado_Receita!$L$2:$L$345)+SUMIF(Mercado_Receita!$S$2:$S$345,"44713B1ConvencionalResidencialResidencial baixa renda – faixa 02Não se aplicaNão se aplicaNão se aplica",Mercado_Receita!$L$2:$L$345)</f>
        <v>21.07</v>
      </c>
      <c r="S19" s="13">
        <f>SUMIF(Mercado_Receita!$S$2:$S$345,"44743B1ConvencionalResidencialResidencial baixa renda – faixa 02Não se aplicaNão se aplicaPonta",Mercado_Receita!$L$2:$L$345)+SUMIF(Mercado_Receita!$S$2:$S$345,"44743B1ConvencionalResidencialResidencial baixa renda – faixa 02Não se aplicaNão se aplicaFora ponta",Mercado_Receita!$L$2:$L$345)+SUMIF(Mercado_Receita!$S$2:$S$345,"44743B1ConvencionalResidencialResidencial baixa renda – faixa 02Não se aplicaNão se aplicaIntermediário",Mercado_Receita!$L$2:$L$345)+SUMIF(Mercado_Receita!$S$2:$S$345,"44743B1ConvencionalResidencialResidencial baixa renda – faixa 02Não se aplicaNão se aplicaNão se aplica",Mercado_Receita!$L$2:$L$345)</f>
        <v>18.611000000000001</v>
      </c>
      <c r="T19" s="13">
        <f>SUMIF(Mercado_Receita!$S$2:$S$345,"44774B1ConvencionalResidencialResidencial baixa renda – faixa 02Não se aplicaNão se aplicaPonta",Mercado_Receita!$L$2:$L$345)+SUMIF(Mercado_Receita!$S$2:$S$345,"44774B1ConvencionalResidencialResidencial baixa renda – faixa 02Não se aplicaNão se aplicaFora ponta",Mercado_Receita!$L$2:$L$345)+SUMIF(Mercado_Receita!$S$2:$S$345,"44774B1ConvencionalResidencialResidencial baixa renda – faixa 02Não se aplicaNão se aplicaIntermediário",Mercado_Receita!$L$2:$L$345)+SUMIF(Mercado_Receita!$S$2:$S$345,"44774B1ConvencionalResidencialResidencial baixa renda – faixa 02Não se aplicaNão se aplicaNão se aplica",Mercado_Receita!$L$2:$L$345)</f>
        <v>19.117999999999999</v>
      </c>
      <c r="U19" s="13">
        <f t="shared" si="0"/>
        <v>223.66</v>
      </c>
      <c r="V19" s="13"/>
      <c r="W19" s="13"/>
    </row>
    <row r="20" spans="1:23" ht="11.25" customHeight="1" x14ac:dyDescent="0.25">
      <c r="A20" s="75"/>
      <c r="B20" s="75"/>
      <c r="C20" s="75"/>
      <c r="D20" s="12" t="s">
        <v>31</v>
      </c>
      <c r="E20" s="12" t="s">
        <v>25</v>
      </c>
      <c r="F20" s="12" t="s">
        <v>25</v>
      </c>
      <c r="G20" s="13" t="s">
        <v>77</v>
      </c>
      <c r="H20" s="13" t="s">
        <v>70</v>
      </c>
      <c r="I20" s="13">
        <f>SUMIF(Mercado_Receita!$S$2:$S$345,"44440B1ConvencionalResidencialResidencial baixa renda – faixa 03Não se aplicaNão se aplicaPonta",Mercado_Receita!$L$2:$L$345)+SUMIF(Mercado_Receita!$S$2:$S$345,"44440B1ConvencionalResidencialResidencial baixa renda – faixa 03Não se aplicaNão se aplicaFora ponta",Mercado_Receita!$L$2:$L$345)+SUMIF(Mercado_Receita!$S$2:$S$345,"44440B1ConvencionalResidencialResidencial baixa renda – faixa 03Não se aplicaNão se aplicaIntermediário",Mercado_Receita!$L$2:$L$345)+SUMIF(Mercado_Receita!$S$2:$S$345,"44440B1ConvencionalResidencialResidencial baixa renda – faixa 03Não se aplicaNão se aplicaNão se aplica",Mercado_Receita!$L$2:$L$345)</f>
        <v>12.941000000000001</v>
      </c>
      <c r="J20" s="13">
        <f>SUMIF(Mercado_Receita!$S$2:$S$345,"44470B1ConvencionalResidencialResidencial baixa renda – faixa 03Não se aplicaNão se aplicaPonta",Mercado_Receita!$L$2:$L$345)+SUMIF(Mercado_Receita!$S$2:$S$345,"44470B1ConvencionalResidencialResidencial baixa renda – faixa 03Não se aplicaNão se aplicaFora ponta",Mercado_Receita!$L$2:$L$345)+SUMIF(Mercado_Receita!$S$2:$S$345,"44470B1ConvencionalResidencialResidencial baixa renda – faixa 03Não se aplicaNão se aplicaIntermediário",Mercado_Receita!$L$2:$L$345)+SUMIF(Mercado_Receita!$S$2:$S$345,"44470B1ConvencionalResidencialResidencial baixa renda – faixa 03Não se aplicaNão se aplicaNão se aplica",Mercado_Receita!$L$2:$L$345)</f>
        <v>10.238</v>
      </c>
      <c r="K20" s="13">
        <f>SUMIF(Mercado_Receita!$S$2:$S$345,"44501B1ConvencionalResidencialResidencial baixa renda – faixa 03Não se aplicaNão se aplicaPonta",Mercado_Receita!$L$2:$L$345)+SUMIF(Mercado_Receita!$S$2:$S$345,"44501B1ConvencionalResidencialResidencial baixa renda – faixa 03Não se aplicaNão se aplicaFora ponta",Mercado_Receita!$L$2:$L$345)+SUMIF(Mercado_Receita!$S$2:$S$345,"44501B1ConvencionalResidencialResidencial baixa renda – faixa 03Não se aplicaNão se aplicaIntermediário",Mercado_Receita!$L$2:$L$345)+SUMIF(Mercado_Receita!$S$2:$S$345,"44501B1ConvencionalResidencialResidencial baixa renda – faixa 03Não se aplicaNão se aplicaNão se aplica",Mercado_Receita!$L$2:$L$345)</f>
        <v>12.458</v>
      </c>
      <c r="L20" s="13">
        <f>SUMIF(Mercado_Receita!$S$2:$S$345,"44531B1ConvencionalResidencialResidencial baixa renda – faixa 03Não se aplicaNão se aplicaPonta",Mercado_Receita!$L$2:$L$345)+SUMIF(Mercado_Receita!$S$2:$S$345,"44531B1ConvencionalResidencialResidencial baixa renda – faixa 03Não se aplicaNão se aplicaFora ponta",Mercado_Receita!$L$2:$L$345)+SUMIF(Mercado_Receita!$S$2:$S$345,"44531B1ConvencionalResidencialResidencial baixa renda – faixa 03Não se aplicaNão se aplicaIntermediário",Mercado_Receita!$L$2:$L$345)+SUMIF(Mercado_Receita!$S$2:$S$345,"44531B1ConvencionalResidencialResidencial baixa renda – faixa 03Não se aplicaNão se aplicaNão se aplica",Mercado_Receita!$L$2:$L$345)</f>
        <v>15.427</v>
      </c>
      <c r="M20" s="13">
        <f>SUMIF(Mercado_Receita!$S$2:$S$345,"44562B1ConvencionalResidencialResidencial baixa renda – faixa 03Não se aplicaNão se aplicaPonta",Mercado_Receita!$L$2:$L$345)+SUMIF(Mercado_Receita!$S$2:$S$345,"44562B1ConvencionalResidencialResidencial baixa renda – faixa 03Não se aplicaNão se aplicaFora ponta",Mercado_Receita!$L$2:$L$345)+SUMIF(Mercado_Receita!$S$2:$S$345,"44562B1ConvencionalResidencialResidencial baixa renda – faixa 03Não se aplicaNão se aplicaIntermediário",Mercado_Receita!$L$2:$L$345)+SUMIF(Mercado_Receita!$S$2:$S$345,"44562B1ConvencionalResidencialResidencial baixa renda – faixa 03Não se aplicaNão se aplicaNão se aplica",Mercado_Receita!$L$2:$L$345)</f>
        <v>16.670999999999999</v>
      </c>
      <c r="N20" s="13">
        <f>SUMIF(Mercado_Receita!$S$2:$S$345,"44593B1ConvencionalResidencialResidencial baixa renda – faixa 03Não se aplicaNão se aplicaPonta",Mercado_Receita!$L$2:$L$345)+SUMIF(Mercado_Receita!$S$2:$S$345,"44593B1ConvencionalResidencialResidencial baixa renda – faixa 03Não se aplicaNão se aplicaFora ponta",Mercado_Receita!$L$2:$L$345)+SUMIF(Mercado_Receita!$S$2:$S$345,"44593B1ConvencionalResidencialResidencial baixa renda – faixa 03Não se aplicaNão se aplicaIntermediário",Mercado_Receita!$L$2:$L$345)+SUMIF(Mercado_Receita!$S$2:$S$345,"44593B1ConvencionalResidencialResidencial baixa renda – faixa 03Não se aplicaNão se aplicaNão se aplica",Mercado_Receita!$L$2:$L$345)</f>
        <v>26.309000000000001</v>
      </c>
      <c r="O20" s="13">
        <f>SUMIF(Mercado_Receita!$S$2:$S$345,"44621B1ConvencionalResidencialResidencial baixa renda – faixa 03Não se aplicaNão se aplicaPonta",Mercado_Receita!$L$2:$L$345)+SUMIF(Mercado_Receita!$S$2:$S$345,"44621B1ConvencionalResidencialResidencial baixa renda – faixa 03Não se aplicaNão se aplicaFora ponta",Mercado_Receita!$L$2:$L$345)+SUMIF(Mercado_Receita!$S$2:$S$345,"44621B1ConvencionalResidencialResidencial baixa renda – faixa 03Não se aplicaNão se aplicaIntermediário",Mercado_Receita!$L$2:$L$345)+SUMIF(Mercado_Receita!$S$2:$S$345,"44621B1ConvencionalResidencialResidencial baixa renda – faixa 03Não se aplicaNão se aplicaNão se aplica",Mercado_Receita!$L$2:$L$345)</f>
        <v>28.52</v>
      </c>
      <c r="P20" s="13">
        <f>SUMIF(Mercado_Receita!$S$2:$S$345,"44652B1ConvencionalResidencialResidencial baixa renda – faixa 03Não se aplicaNão se aplicaPonta",Mercado_Receita!$L$2:$L$345)+SUMIF(Mercado_Receita!$S$2:$S$345,"44652B1ConvencionalResidencialResidencial baixa renda – faixa 03Não se aplicaNão se aplicaFora ponta",Mercado_Receita!$L$2:$L$345)+SUMIF(Mercado_Receita!$S$2:$S$345,"44652B1ConvencionalResidencialResidencial baixa renda – faixa 03Não se aplicaNão se aplicaIntermediário",Mercado_Receita!$L$2:$L$345)+SUMIF(Mercado_Receita!$S$2:$S$345,"44652B1ConvencionalResidencialResidencial baixa renda – faixa 03Não se aplicaNão se aplicaNão se aplica",Mercado_Receita!$L$2:$L$345)</f>
        <v>26.978999999999999</v>
      </c>
      <c r="Q20" s="13">
        <f>SUMIF(Mercado_Receita!$S$2:$S$345,"44682B1ConvencionalResidencialResidencial baixa renda – faixa 03Não se aplicaNão se aplicaPonta",Mercado_Receita!$L$2:$L$345)+SUMIF(Mercado_Receita!$S$2:$S$345,"44682B1ConvencionalResidencialResidencial baixa renda – faixa 03Não se aplicaNão se aplicaFora ponta",Mercado_Receita!$L$2:$L$345)+SUMIF(Mercado_Receita!$S$2:$S$345,"44682B1ConvencionalResidencialResidencial baixa renda – faixa 03Não se aplicaNão se aplicaIntermediário",Mercado_Receita!$L$2:$L$345)+SUMIF(Mercado_Receita!$S$2:$S$345,"44682B1ConvencionalResidencialResidencial baixa renda – faixa 03Não se aplicaNão se aplicaNão se aplica",Mercado_Receita!$L$2:$L$345)</f>
        <v>22.402999999999999</v>
      </c>
      <c r="R20" s="13">
        <f>SUMIF(Mercado_Receita!$S$2:$S$345,"44713B1ConvencionalResidencialResidencial baixa renda – faixa 03Não se aplicaNão se aplicaPonta",Mercado_Receita!$L$2:$L$345)+SUMIF(Mercado_Receita!$S$2:$S$345,"44713B1ConvencionalResidencialResidencial baixa renda – faixa 03Não se aplicaNão se aplicaFora ponta",Mercado_Receita!$L$2:$L$345)+SUMIF(Mercado_Receita!$S$2:$S$345,"44713B1ConvencionalResidencialResidencial baixa renda – faixa 03Não se aplicaNão se aplicaIntermediário",Mercado_Receita!$L$2:$L$345)+SUMIF(Mercado_Receita!$S$2:$S$345,"44713B1ConvencionalResidencialResidencial baixa renda – faixa 03Não se aplicaNão se aplicaNão se aplica",Mercado_Receita!$L$2:$L$345)</f>
        <v>22.442</v>
      </c>
      <c r="S20" s="13">
        <f>SUMIF(Mercado_Receita!$S$2:$S$345,"44743B1ConvencionalResidencialResidencial baixa renda – faixa 03Não se aplicaNão se aplicaPonta",Mercado_Receita!$L$2:$L$345)+SUMIF(Mercado_Receita!$S$2:$S$345,"44743B1ConvencionalResidencialResidencial baixa renda – faixa 03Não se aplicaNão se aplicaFora ponta",Mercado_Receita!$L$2:$L$345)+SUMIF(Mercado_Receita!$S$2:$S$345,"44743B1ConvencionalResidencialResidencial baixa renda – faixa 03Não se aplicaNão se aplicaIntermediário",Mercado_Receita!$L$2:$L$345)+SUMIF(Mercado_Receita!$S$2:$S$345,"44743B1ConvencionalResidencialResidencial baixa renda – faixa 03Não se aplicaNão se aplicaNão se aplica",Mercado_Receita!$L$2:$L$345)</f>
        <v>16.286000000000001</v>
      </c>
      <c r="T20" s="13">
        <f>SUMIF(Mercado_Receita!$S$2:$S$345,"44774B1ConvencionalResidencialResidencial baixa renda – faixa 03Não se aplicaNão se aplicaPonta",Mercado_Receita!$L$2:$L$345)+SUMIF(Mercado_Receita!$S$2:$S$345,"44774B1ConvencionalResidencialResidencial baixa renda – faixa 03Não se aplicaNão se aplicaFora ponta",Mercado_Receita!$L$2:$L$345)+SUMIF(Mercado_Receita!$S$2:$S$345,"44774B1ConvencionalResidencialResidencial baixa renda – faixa 03Não se aplicaNão se aplicaIntermediário",Mercado_Receita!$L$2:$L$345)+SUMIF(Mercado_Receita!$S$2:$S$345,"44774B1ConvencionalResidencialResidencial baixa renda – faixa 03Não se aplicaNão se aplicaNão se aplica",Mercado_Receita!$L$2:$L$345)</f>
        <v>18.670999999999999</v>
      </c>
      <c r="U20" s="13">
        <f t="shared" si="0"/>
        <v>229.345</v>
      </c>
      <c r="V20" s="13"/>
      <c r="W20" s="13"/>
    </row>
    <row r="21" spans="1:23" ht="11.25" customHeight="1" x14ac:dyDescent="0.25">
      <c r="A21" s="75"/>
      <c r="B21" s="75"/>
      <c r="C21" s="75"/>
      <c r="D21" s="12" t="s">
        <v>32</v>
      </c>
      <c r="E21" s="12" t="s">
        <v>25</v>
      </c>
      <c r="F21" s="12" t="s">
        <v>25</v>
      </c>
      <c r="G21" s="13" t="s">
        <v>77</v>
      </c>
      <c r="H21" s="13" t="s">
        <v>70</v>
      </c>
      <c r="I21" s="13">
        <f>SUMIF(Mercado_Receita!$S$2:$S$345,"44440B1ConvencionalResidencialResidencial baixa renda – faixa 04Não se aplicaNão se aplicaPonta",Mercado_Receita!$L$2:$L$345)+SUMIF(Mercado_Receita!$S$2:$S$345,"44440B1ConvencionalResidencialResidencial baixa renda – faixa 04Não se aplicaNão se aplicaFora ponta",Mercado_Receita!$L$2:$L$345)+SUMIF(Mercado_Receita!$S$2:$S$345,"44440B1ConvencionalResidencialResidencial baixa renda – faixa 04Não se aplicaNão se aplicaIntermediário",Mercado_Receita!$L$2:$L$345)+SUMIF(Mercado_Receita!$S$2:$S$345,"44440B1ConvencionalResidencialResidencial baixa renda – faixa 04Não se aplicaNão se aplicaNão se aplica",Mercado_Receita!$L$2:$L$345)</f>
        <v>5.3769999999999998</v>
      </c>
      <c r="J21" s="13">
        <f>SUMIF(Mercado_Receita!$S$2:$S$345,"44470B1ConvencionalResidencialResidencial baixa renda – faixa 04Não se aplicaNão se aplicaPonta",Mercado_Receita!$L$2:$L$345)+SUMIF(Mercado_Receita!$S$2:$S$345,"44470B1ConvencionalResidencialResidencial baixa renda – faixa 04Não se aplicaNão se aplicaFora ponta",Mercado_Receita!$L$2:$L$345)+SUMIF(Mercado_Receita!$S$2:$S$345,"44470B1ConvencionalResidencialResidencial baixa renda – faixa 04Não se aplicaNão se aplicaIntermediário",Mercado_Receita!$L$2:$L$345)+SUMIF(Mercado_Receita!$S$2:$S$345,"44470B1ConvencionalResidencialResidencial baixa renda – faixa 04Não se aplicaNão se aplicaNão se aplica",Mercado_Receita!$L$2:$L$345)</f>
        <v>2.8479999999999999</v>
      </c>
      <c r="K21" s="13">
        <f>SUMIF(Mercado_Receita!$S$2:$S$345,"44501B1ConvencionalResidencialResidencial baixa renda – faixa 04Não se aplicaNão se aplicaPonta",Mercado_Receita!$L$2:$L$345)+SUMIF(Mercado_Receita!$S$2:$S$345,"44501B1ConvencionalResidencialResidencial baixa renda – faixa 04Não se aplicaNão se aplicaFora ponta",Mercado_Receita!$L$2:$L$345)+SUMIF(Mercado_Receita!$S$2:$S$345,"44501B1ConvencionalResidencialResidencial baixa renda – faixa 04Não se aplicaNão se aplicaIntermediário",Mercado_Receita!$L$2:$L$345)+SUMIF(Mercado_Receita!$S$2:$S$345,"44501B1ConvencionalResidencialResidencial baixa renda – faixa 04Não se aplicaNão se aplicaNão se aplica",Mercado_Receita!$L$2:$L$345)</f>
        <v>4.7279999999999998</v>
      </c>
      <c r="L21" s="13">
        <f>SUMIF(Mercado_Receita!$S$2:$S$345,"44531B1ConvencionalResidencialResidencial baixa renda – faixa 04Não se aplicaNão se aplicaPonta",Mercado_Receita!$L$2:$L$345)+SUMIF(Mercado_Receita!$S$2:$S$345,"44531B1ConvencionalResidencialResidencial baixa renda – faixa 04Não se aplicaNão se aplicaFora ponta",Mercado_Receita!$L$2:$L$345)+SUMIF(Mercado_Receita!$S$2:$S$345,"44531B1ConvencionalResidencialResidencial baixa renda – faixa 04Não se aplicaNão se aplicaIntermediário",Mercado_Receita!$L$2:$L$345)+SUMIF(Mercado_Receita!$S$2:$S$345,"44531B1ConvencionalResidencialResidencial baixa renda – faixa 04Não se aplicaNão se aplicaNão se aplica",Mercado_Receita!$L$2:$L$345)</f>
        <v>7.8019999999999996</v>
      </c>
      <c r="M21" s="13">
        <f>SUMIF(Mercado_Receita!$S$2:$S$345,"44562B1ConvencionalResidencialResidencial baixa renda – faixa 04Não se aplicaNão se aplicaPonta",Mercado_Receita!$L$2:$L$345)+SUMIF(Mercado_Receita!$S$2:$S$345,"44562B1ConvencionalResidencialResidencial baixa renda – faixa 04Não se aplicaNão se aplicaFora ponta",Mercado_Receita!$L$2:$L$345)+SUMIF(Mercado_Receita!$S$2:$S$345,"44562B1ConvencionalResidencialResidencial baixa renda – faixa 04Não se aplicaNão se aplicaIntermediário",Mercado_Receita!$L$2:$L$345)+SUMIF(Mercado_Receita!$S$2:$S$345,"44562B1ConvencionalResidencialResidencial baixa renda – faixa 04Não se aplicaNão se aplicaNão se aplica",Mercado_Receita!$L$2:$L$345)</f>
        <v>10.47</v>
      </c>
      <c r="N21" s="13">
        <f>SUMIF(Mercado_Receita!$S$2:$S$345,"44593B1ConvencionalResidencialResidencial baixa renda – faixa 04Não se aplicaNão se aplicaPonta",Mercado_Receita!$L$2:$L$345)+SUMIF(Mercado_Receita!$S$2:$S$345,"44593B1ConvencionalResidencialResidencial baixa renda – faixa 04Não se aplicaNão se aplicaFora ponta",Mercado_Receita!$L$2:$L$345)+SUMIF(Mercado_Receita!$S$2:$S$345,"44593B1ConvencionalResidencialResidencial baixa renda – faixa 04Não se aplicaNão se aplicaIntermediário",Mercado_Receita!$L$2:$L$345)+SUMIF(Mercado_Receita!$S$2:$S$345,"44593B1ConvencionalResidencialResidencial baixa renda – faixa 04Não se aplicaNão se aplicaNão se aplica",Mercado_Receita!$L$2:$L$345)</f>
        <v>14.282</v>
      </c>
      <c r="O21" s="13">
        <f>SUMIF(Mercado_Receita!$S$2:$S$345,"44621B1ConvencionalResidencialResidencial baixa renda – faixa 04Não se aplicaNão se aplicaPonta",Mercado_Receita!$L$2:$L$345)+SUMIF(Mercado_Receita!$S$2:$S$345,"44621B1ConvencionalResidencialResidencial baixa renda – faixa 04Não se aplicaNão se aplicaFora ponta",Mercado_Receita!$L$2:$L$345)+SUMIF(Mercado_Receita!$S$2:$S$345,"44621B1ConvencionalResidencialResidencial baixa renda – faixa 04Não se aplicaNão se aplicaIntermediário",Mercado_Receita!$L$2:$L$345)+SUMIF(Mercado_Receita!$S$2:$S$345,"44621B1ConvencionalResidencialResidencial baixa renda – faixa 04Não se aplicaNão se aplicaNão se aplica",Mercado_Receita!$L$2:$L$345)</f>
        <v>15.81</v>
      </c>
      <c r="P21" s="13">
        <f>SUMIF(Mercado_Receita!$S$2:$S$345,"44652B1ConvencionalResidencialResidencial baixa renda – faixa 04Não se aplicaNão se aplicaPonta",Mercado_Receita!$L$2:$L$345)+SUMIF(Mercado_Receita!$S$2:$S$345,"44652B1ConvencionalResidencialResidencial baixa renda – faixa 04Não se aplicaNão se aplicaFora ponta",Mercado_Receita!$L$2:$L$345)+SUMIF(Mercado_Receita!$S$2:$S$345,"44652B1ConvencionalResidencialResidencial baixa renda – faixa 04Não se aplicaNão se aplicaIntermediário",Mercado_Receita!$L$2:$L$345)+SUMIF(Mercado_Receita!$S$2:$S$345,"44652B1ConvencionalResidencialResidencial baixa renda – faixa 04Não se aplicaNão se aplicaNão se aplica",Mercado_Receita!$L$2:$L$345)</f>
        <v>12.138999999999999</v>
      </c>
      <c r="Q21" s="13">
        <f>SUMIF(Mercado_Receita!$S$2:$S$345,"44682B1ConvencionalResidencialResidencial baixa renda – faixa 04Não se aplicaNão se aplicaPonta",Mercado_Receita!$L$2:$L$345)+SUMIF(Mercado_Receita!$S$2:$S$345,"44682B1ConvencionalResidencialResidencial baixa renda – faixa 04Não se aplicaNão se aplicaFora ponta",Mercado_Receita!$L$2:$L$345)+SUMIF(Mercado_Receita!$S$2:$S$345,"44682B1ConvencionalResidencialResidencial baixa renda – faixa 04Não se aplicaNão se aplicaIntermediário",Mercado_Receita!$L$2:$L$345)+SUMIF(Mercado_Receita!$S$2:$S$345,"44682B1ConvencionalResidencialResidencial baixa renda – faixa 04Não se aplicaNão se aplicaNão se aplica",Mercado_Receita!$L$2:$L$345)</f>
        <v>7.76</v>
      </c>
      <c r="R21" s="13">
        <f>SUMIF(Mercado_Receita!$S$2:$S$345,"44713B1ConvencionalResidencialResidencial baixa renda – faixa 04Não se aplicaNão se aplicaPonta",Mercado_Receita!$L$2:$L$345)+SUMIF(Mercado_Receita!$S$2:$S$345,"44713B1ConvencionalResidencialResidencial baixa renda – faixa 04Não se aplicaNão se aplicaFora ponta",Mercado_Receita!$L$2:$L$345)+SUMIF(Mercado_Receita!$S$2:$S$345,"44713B1ConvencionalResidencialResidencial baixa renda – faixa 04Não se aplicaNão se aplicaIntermediário",Mercado_Receita!$L$2:$L$345)+SUMIF(Mercado_Receita!$S$2:$S$345,"44713B1ConvencionalResidencialResidencial baixa renda – faixa 04Não se aplicaNão se aplicaNão se aplica",Mercado_Receita!$L$2:$L$345)</f>
        <v>10.635</v>
      </c>
      <c r="S21" s="13">
        <f>SUMIF(Mercado_Receita!$S$2:$S$345,"44743B1ConvencionalResidencialResidencial baixa renda – faixa 04Não se aplicaNão se aplicaPonta",Mercado_Receita!$L$2:$L$345)+SUMIF(Mercado_Receita!$S$2:$S$345,"44743B1ConvencionalResidencialResidencial baixa renda – faixa 04Não se aplicaNão se aplicaFora ponta",Mercado_Receita!$L$2:$L$345)+SUMIF(Mercado_Receita!$S$2:$S$345,"44743B1ConvencionalResidencialResidencial baixa renda – faixa 04Não se aplicaNão se aplicaIntermediário",Mercado_Receita!$L$2:$L$345)+SUMIF(Mercado_Receita!$S$2:$S$345,"44743B1ConvencionalResidencialResidencial baixa renda – faixa 04Não se aplicaNão se aplicaNão se aplica",Mercado_Receita!$L$2:$L$345)</f>
        <v>4.3120000000000003</v>
      </c>
      <c r="T21" s="13">
        <f>SUMIF(Mercado_Receita!$S$2:$S$345,"44774B1ConvencionalResidencialResidencial baixa renda – faixa 04Não se aplicaNão se aplicaPonta",Mercado_Receita!$L$2:$L$345)+SUMIF(Mercado_Receita!$S$2:$S$345,"44774B1ConvencionalResidencialResidencial baixa renda – faixa 04Não se aplicaNão se aplicaFora ponta",Mercado_Receita!$L$2:$L$345)+SUMIF(Mercado_Receita!$S$2:$S$345,"44774B1ConvencionalResidencialResidencial baixa renda – faixa 04Não se aplicaNão se aplicaIntermediário",Mercado_Receita!$L$2:$L$345)+SUMIF(Mercado_Receita!$S$2:$S$345,"44774B1ConvencionalResidencialResidencial baixa renda – faixa 04Não se aplicaNão se aplicaNão se aplica",Mercado_Receita!$L$2:$L$345)</f>
        <v>7.032</v>
      </c>
      <c r="U21" s="13">
        <f t="shared" si="0"/>
        <v>103.19500000000001</v>
      </c>
      <c r="V21" s="13"/>
      <c r="W21" s="13"/>
    </row>
    <row r="22" spans="1:23" ht="11.25" customHeight="1" x14ac:dyDescent="0.25">
      <c r="A22" s="75"/>
      <c r="B22" s="74" t="s">
        <v>87</v>
      </c>
      <c r="C22" s="74" t="s">
        <v>24</v>
      </c>
      <c r="D22" s="12" t="s">
        <v>24</v>
      </c>
      <c r="E22" s="12" t="s">
        <v>25</v>
      </c>
      <c r="F22" s="12" t="s">
        <v>25</v>
      </c>
      <c r="G22" s="13" t="s">
        <v>77</v>
      </c>
      <c r="H22" s="13" t="s">
        <v>70</v>
      </c>
      <c r="I22" s="13">
        <f>SUMIF(Mercado_Receita!$S$2:$S$345,"44440B1Convencional pré-pagamentoResidencialResidencialNão se aplicaNão se aplicaPonta",Mercado_Receita!$L$2:$L$345)+SUMIF(Mercado_Receita!$S$2:$S$345,"44440B1Convencional pré-pagamentoResidencialResidencialNão se aplicaNão se aplicaFora ponta",Mercado_Receita!$L$2:$L$345)+SUMIF(Mercado_Receita!$S$2:$S$345,"44440B1Convencional pré-pagamentoResidencialResidencialNão se aplicaNão se aplicaIntermediário",Mercado_Receita!$L$2:$L$345)+SUMIF(Mercado_Receita!$S$2:$S$345,"44440B1Convencional pré-pagamentoResidencialResidencialNão se aplicaNão se aplicaNão se aplica",Mercado_Receita!$L$2:$L$345)</f>
        <v>0</v>
      </c>
      <c r="J22" s="13">
        <f>SUMIF(Mercado_Receita!$S$2:$S$345,"44470B1Convencional pré-pagamentoResidencialResidencialNão se aplicaNão se aplicaPonta",Mercado_Receita!$L$2:$L$345)+SUMIF(Mercado_Receita!$S$2:$S$345,"44470B1Convencional pré-pagamentoResidencialResidencialNão se aplicaNão se aplicaFora ponta",Mercado_Receita!$L$2:$L$345)+SUMIF(Mercado_Receita!$S$2:$S$345,"44470B1Convencional pré-pagamentoResidencialResidencialNão se aplicaNão se aplicaIntermediário",Mercado_Receita!$L$2:$L$345)+SUMIF(Mercado_Receita!$S$2:$S$345,"44470B1Convencional pré-pagamentoResidencialResidencialNão se aplicaNão se aplicaNão se aplica",Mercado_Receita!$L$2:$L$345)</f>
        <v>0</v>
      </c>
      <c r="K22" s="13">
        <f>SUMIF(Mercado_Receita!$S$2:$S$345,"44501B1Convencional pré-pagamentoResidencialResidencialNão se aplicaNão se aplicaPonta",Mercado_Receita!$L$2:$L$345)+SUMIF(Mercado_Receita!$S$2:$S$345,"44501B1Convencional pré-pagamentoResidencialResidencialNão se aplicaNão se aplicaFora ponta",Mercado_Receita!$L$2:$L$345)+SUMIF(Mercado_Receita!$S$2:$S$345,"44501B1Convencional pré-pagamentoResidencialResidencialNão se aplicaNão se aplicaIntermediário",Mercado_Receita!$L$2:$L$345)+SUMIF(Mercado_Receita!$S$2:$S$345,"44501B1Convencional pré-pagamentoResidencialResidencialNão se aplicaNão se aplicaNão se aplica",Mercado_Receita!$L$2:$L$345)</f>
        <v>0</v>
      </c>
      <c r="L22" s="13">
        <f>SUMIF(Mercado_Receita!$S$2:$S$345,"44531B1Convencional pré-pagamentoResidencialResidencialNão se aplicaNão se aplicaPonta",Mercado_Receita!$L$2:$L$345)+SUMIF(Mercado_Receita!$S$2:$S$345,"44531B1Convencional pré-pagamentoResidencialResidencialNão se aplicaNão se aplicaFora ponta",Mercado_Receita!$L$2:$L$345)+SUMIF(Mercado_Receita!$S$2:$S$345,"44531B1Convencional pré-pagamentoResidencialResidencialNão se aplicaNão se aplicaIntermediário",Mercado_Receita!$L$2:$L$345)+SUMIF(Mercado_Receita!$S$2:$S$345,"44531B1Convencional pré-pagamentoResidencialResidencialNão se aplicaNão se aplicaNão se aplica",Mercado_Receita!$L$2:$L$345)</f>
        <v>0</v>
      </c>
      <c r="M22" s="13">
        <f>SUMIF(Mercado_Receita!$S$2:$S$345,"44562B1Convencional pré-pagamentoResidencialResidencialNão se aplicaNão se aplicaPonta",Mercado_Receita!$L$2:$L$345)+SUMIF(Mercado_Receita!$S$2:$S$345,"44562B1Convencional pré-pagamentoResidencialResidencialNão se aplicaNão se aplicaFora ponta",Mercado_Receita!$L$2:$L$345)+SUMIF(Mercado_Receita!$S$2:$S$345,"44562B1Convencional pré-pagamentoResidencialResidencialNão se aplicaNão se aplicaIntermediário",Mercado_Receita!$L$2:$L$345)+SUMIF(Mercado_Receita!$S$2:$S$345,"44562B1Convencional pré-pagamentoResidencialResidencialNão se aplicaNão se aplicaNão se aplica",Mercado_Receita!$L$2:$L$345)</f>
        <v>0</v>
      </c>
      <c r="N22" s="13">
        <f>SUMIF(Mercado_Receita!$S$2:$S$345,"44593B1Convencional pré-pagamentoResidencialResidencialNão se aplicaNão se aplicaPonta",Mercado_Receita!$L$2:$L$345)+SUMIF(Mercado_Receita!$S$2:$S$345,"44593B1Convencional pré-pagamentoResidencialResidencialNão se aplicaNão se aplicaFora ponta",Mercado_Receita!$L$2:$L$345)+SUMIF(Mercado_Receita!$S$2:$S$345,"44593B1Convencional pré-pagamentoResidencialResidencialNão se aplicaNão se aplicaIntermediário",Mercado_Receita!$L$2:$L$345)+SUMIF(Mercado_Receita!$S$2:$S$345,"44593B1Convencional pré-pagamentoResidencialResidencialNão se aplicaNão se aplicaNão se aplica",Mercado_Receita!$L$2:$L$345)</f>
        <v>0</v>
      </c>
      <c r="O22" s="13">
        <f>SUMIF(Mercado_Receita!$S$2:$S$345,"44621B1Convencional pré-pagamentoResidencialResidencialNão se aplicaNão se aplicaPonta",Mercado_Receita!$L$2:$L$345)+SUMIF(Mercado_Receita!$S$2:$S$345,"44621B1Convencional pré-pagamentoResidencialResidencialNão se aplicaNão se aplicaFora ponta",Mercado_Receita!$L$2:$L$345)+SUMIF(Mercado_Receita!$S$2:$S$345,"44621B1Convencional pré-pagamentoResidencialResidencialNão se aplicaNão se aplicaIntermediário",Mercado_Receita!$L$2:$L$345)+SUMIF(Mercado_Receita!$S$2:$S$345,"44621B1Convencional pré-pagamentoResidencialResidencialNão se aplicaNão se aplicaNão se aplica",Mercado_Receita!$L$2:$L$345)</f>
        <v>0</v>
      </c>
      <c r="P22" s="13">
        <f>SUMIF(Mercado_Receita!$S$2:$S$345,"44652B1Convencional pré-pagamentoResidencialResidencialNão se aplicaNão se aplicaPonta",Mercado_Receita!$L$2:$L$345)+SUMIF(Mercado_Receita!$S$2:$S$345,"44652B1Convencional pré-pagamentoResidencialResidencialNão se aplicaNão se aplicaFora ponta",Mercado_Receita!$L$2:$L$345)+SUMIF(Mercado_Receita!$S$2:$S$345,"44652B1Convencional pré-pagamentoResidencialResidencialNão se aplicaNão se aplicaIntermediário",Mercado_Receita!$L$2:$L$345)+SUMIF(Mercado_Receita!$S$2:$S$345,"44652B1Convencional pré-pagamentoResidencialResidencialNão se aplicaNão se aplicaNão se aplica",Mercado_Receita!$L$2:$L$345)</f>
        <v>0</v>
      </c>
      <c r="Q22" s="13">
        <f>SUMIF(Mercado_Receita!$S$2:$S$345,"44682B1Convencional pré-pagamentoResidencialResidencialNão se aplicaNão se aplicaPonta",Mercado_Receita!$L$2:$L$345)+SUMIF(Mercado_Receita!$S$2:$S$345,"44682B1Convencional pré-pagamentoResidencialResidencialNão se aplicaNão se aplicaFora ponta",Mercado_Receita!$L$2:$L$345)+SUMIF(Mercado_Receita!$S$2:$S$345,"44682B1Convencional pré-pagamentoResidencialResidencialNão se aplicaNão se aplicaIntermediário",Mercado_Receita!$L$2:$L$345)+SUMIF(Mercado_Receita!$S$2:$S$345,"44682B1Convencional pré-pagamentoResidencialResidencialNão se aplicaNão se aplicaNão se aplica",Mercado_Receita!$L$2:$L$345)</f>
        <v>0</v>
      </c>
      <c r="R22" s="13">
        <f>SUMIF(Mercado_Receita!$S$2:$S$345,"44713B1Convencional pré-pagamentoResidencialResidencialNão se aplicaNão se aplicaPonta",Mercado_Receita!$L$2:$L$345)+SUMIF(Mercado_Receita!$S$2:$S$345,"44713B1Convencional pré-pagamentoResidencialResidencialNão se aplicaNão se aplicaFora ponta",Mercado_Receita!$L$2:$L$345)+SUMIF(Mercado_Receita!$S$2:$S$345,"44713B1Convencional pré-pagamentoResidencialResidencialNão se aplicaNão se aplicaIntermediário",Mercado_Receita!$L$2:$L$345)+SUMIF(Mercado_Receita!$S$2:$S$345,"44713B1Convencional pré-pagamentoResidencialResidencialNão se aplicaNão se aplicaNão se aplica",Mercado_Receita!$L$2:$L$345)</f>
        <v>0</v>
      </c>
      <c r="S22" s="13">
        <f>SUMIF(Mercado_Receita!$S$2:$S$345,"44743B1Convencional pré-pagamentoResidencialResidencialNão se aplicaNão se aplicaPonta",Mercado_Receita!$L$2:$L$345)+SUMIF(Mercado_Receita!$S$2:$S$345,"44743B1Convencional pré-pagamentoResidencialResidencialNão se aplicaNão se aplicaFora ponta",Mercado_Receita!$L$2:$L$345)+SUMIF(Mercado_Receita!$S$2:$S$345,"44743B1Convencional pré-pagamentoResidencialResidencialNão se aplicaNão se aplicaIntermediário",Mercado_Receita!$L$2:$L$345)+SUMIF(Mercado_Receita!$S$2:$S$345,"44743B1Convencional pré-pagamentoResidencialResidencialNão se aplicaNão se aplicaNão se aplica",Mercado_Receita!$L$2:$L$345)</f>
        <v>0</v>
      </c>
      <c r="T22" s="13">
        <f>SUMIF(Mercado_Receita!$S$2:$S$345,"44774B1Convencional pré-pagamentoResidencialResidencialNão se aplicaNão se aplicaPonta",Mercado_Receita!$L$2:$L$345)+SUMIF(Mercado_Receita!$S$2:$S$345,"44774B1Convencional pré-pagamentoResidencialResidencialNão se aplicaNão se aplicaFora ponta",Mercado_Receita!$L$2:$L$345)+SUMIF(Mercado_Receita!$S$2:$S$345,"44774B1Convencional pré-pagamentoResidencialResidencialNão se aplicaNão se aplicaIntermediário",Mercado_Receita!$L$2:$L$345)+SUMIF(Mercado_Receita!$S$2:$S$345,"44774B1Convencional pré-pagamentoResidencialResidencialNão se aplicaNão se aplicaNão se aplica",Mercado_Receita!$L$2:$L$345)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5"/>
      <c r="B23" s="75"/>
      <c r="C23" s="75"/>
      <c r="D23" s="12" t="s">
        <v>29</v>
      </c>
      <c r="E23" s="12" t="s">
        <v>25</v>
      </c>
      <c r="F23" s="12" t="s">
        <v>25</v>
      </c>
      <c r="G23" s="13" t="s">
        <v>77</v>
      </c>
      <c r="H23" s="13" t="s">
        <v>70</v>
      </c>
      <c r="I23" s="13">
        <f>SUMIF(Mercado_Receita!$S$2:$S$345,"44440B1Convencional pré-pagamentoResidencialResidencial baixa renda – faixa 01Não se aplicaNão se aplicaPonta",Mercado_Receita!$L$2:$L$345)+SUMIF(Mercado_Receita!$S$2:$S$345,"44440B1Convencional pré-pagamentoResidencialResidencial baixa renda – faixa 01Não se aplicaNão se aplicaFora ponta",Mercado_Receita!$L$2:$L$345)+SUMIF(Mercado_Receita!$S$2:$S$345,"44440B1Convencional pré-pagamentoResidencialResidencial baixa renda – faixa 01Não se aplicaNão se aplicaIntermediário",Mercado_Receita!$L$2:$L$345)+SUMIF(Mercado_Receita!$S$2:$S$345,"44440B1Convencional pré-pagamentoResidencialResidencial baixa renda – faixa 01Não se aplicaNão se aplicaNão se aplica",Mercado_Receita!$L$2:$L$345)</f>
        <v>0</v>
      </c>
      <c r="J23" s="13">
        <f>SUMIF(Mercado_Receita!$S$2:$S$345,"44470B1Convencional pré-pagamentoResidencialResidencial baixa renda – faixa 01Não se aplicaNão se aplicaPonta",Mercado_Receita!$L$2:$L$345)+SUMIF(Mercado_Receita!$S$2:$S$345,"44470B1Convencional pré-pagamentoResidencialResidencial baixa renda – faixa 01Não se aplicaNão se aplicaFora ponta",Mercado_Receita!$L$2:$L$345)+SUMIF(Mercado_Receita!$S$2:$S$345,"44470B1Convencional pré-pagamentoResidencialResidencial baixa renda – faixa 01Não se aplicaNão se aplicaIntermediário",Mercado_Receita!$L$2:$L$345)+SUMIF(Mercado_Receita!$S$2:$S$345,"44470B1Convencional pré-pagamentoResidencialResidencial baixa renda – faixa 01Não se aplicaNão se aplicaNão se aplica",Mercado_Receita!$L$2:$L$345)</f>
        <v>0</v>
      </c>
      <c r="K23" s="13">
        <f>SUMIF(Mercado_Receita!$S$2:$S$345,"44501B1Convencional pré-pagamentoResidencialResidencial baixa renda – faixa 01Não se aplicaNão se aplicaPonta",Mercado_Receita!$L$2:$L$345)+SUMIF(Mercado_Receita!$S$2:$S$345,"44501B1Convencional pré-pagamentoResidencialResidencial baixa renda – faixa 01Não se aplicaNão se aplicaFora ponta",Mercado_Receita!$L$2:$L$345)+SUMIF(Mercado_Receita!$S$2:$S$345,"44501B1Convencional pré-pagamentoResidencialResidencial baixa renda – faixa 01Não se aplicaNão se aplicaIntermediário",Mercado_Receita!$L$2:$L$345)+SUMIF(Mercado_Receita!$S$2:$S$345,"44501B1Convencional pré-pagamentoResidencialResidencial baixa renda – faixa 01Não se aplicaNão se aplicaNão se aplica",Mercado_Receita!$L$2:$L$345)</f>
        <v>0</v>
      </c>
      <c r="L23" s="13">
        <f>SUMIF(Mercado_Receita!$S$2:$S$345,"44531B1Convencional pré-pagamentoResidencialResidencial baixa renda – faixa 01Não se aplicaNão se aplicaPonta",Mercado_Receita!$L$2:$L$345)+SUMIF(Mercado_Receita!$S$2:$S$345,"44531B1Convencional pré-pagamentoResidencialResidencial baixa renda – faixa 01Não se aplicaNão se aplicaFora ponta",Mercado_Receita!$L$2:$L$345)+SUMIF(Mercado_Receita!$S$2:$S$345,"44531B1Convencional pré-pagamentoResidencialResidencial baixa renda – faixa 01Não se aplicaNão se aplicaIntermediário",Mercado_Receita!$L$2:$L$345)+SUMIF(Mercado_Receita!$S$2:$S$345,"44531B1Convencional pré-pagamentoResidencialResidencial baixa renda – faixa 01Não se aplicaNão se aplicaNão se aplica",Mercado_Receita!$L$2:$L$345)</f>
        <v>0</v>
      </c>
      <c r="M23" s="13">
        <f>SUMIF(Mercado_Receita!$S$2:$S$345,"44562B1Convencional pré-pagamentoResidencialResidencial baixa renda – faixa 01Não se aplicaNão se aplicaPonta",Mercado_Receita!$L$2:$L$345)+SUMIF(Mercado_Receita!$S$2:$S$345,"44562B1Convencional pré-pagamentoResidencialResidencial baixa renda – faixa 01Não se aplicaNão se aplicaFora ponta",Mercado_Receita!$L$2:$L$345)+SUMIF(Mercado_Receita!$S$2:$S$345,"44562B1Convencional pré-pagamentoResidencialResidencial baixa renda – faixa 01Não se aplicaNão se aplicaIntermediário",Mercado_Receita!$L$2:$L$345)+SUMIF(Mercado_Receita!$S$2:$S$345,"44562B1Convencional pré-pagamentoResidencialResidencial baixa renda – faixa 01Não se aplicaNão se aplicaNão se aplica",Mercado_Receita!$L$2:$L$345)</f>
        <v>0</v>
      </c>
      <c r="N23" s="13">
        <f>SUMIF(Mercado_Receita!$S$2:$S$345,"44593B1Convencional pré-pagamentoResidencialResidencial baixa renda – faixa 01Não se aplicaNão se aplicaPonta",Mercado_Receita!$L$2:$L$345)+SUMIF(Mercado_Receita!$S$2:$S$345,"44593B1Convencional pré-pagamentoResidencialResidencial baixa renda – faixa 01Não se aplicaNão se aplicaFora ponta",Mercado_Receita!$L$2:$L$345)+SUMIF(Mercado_Receita!$S$2:$S$345,"44593B1Convencional pré-pagamentoResidencialResidencial baixa renda – faixa 01Não se aplicaNão se aplicaIntermediário",Mercado_Receita!$L$2:$L$345)+SUMIF(Mercado_Receita!$S$2:$S$345,"44593B1Convencional pré-pagamentoResidencialResidencial baixa renda – faixa 01Não se aplicaNão se aplicaNão se aplica",Mercado_Receita!$L$2:$L$345)</f>
        <v>0</v>
      </c>
      <c r="O23" s="13">
        <f>SUMIF(Mercado_Receita!$S$2:$S$345,"44621B1Convencional pré-pagamentoResidencialResidencial baixa renda – faixa 01Não se aplicaNão se aplicaPonta",Mercado_Receita!$L$2:$L$345)+SUMIF(Mercado_Receita!$S$2:$S$345,"44621B1Convencional pré-pagamentoResidencialResidencial baixa renda – faixa 01Não se aplicaNão se aplicaFora ponta",Mercado_Receita!$L$2:$L$345)+SUMIF(Mercado_Receita!$S$2:$S$345,"44621B1Convencional pré-pagamentoResidencialResidencial baixa renda – faixa 01Não se aplicaNão se aplicaIntermediário",Mercado_Receita!$L$2:$L$345)+SUMIF(Mercado_Receita!$S$2:$S$345,"44621B1Convencional pré-pagamentoResidencialResidencial baixa renda – faixa 01Não se aplicaNão se aplicaNão se aplica",Mercado_Receita!$L$2:$L$345)</f>
        <v>0</v>
      </c>
      <c r="P23" s="13">
        <f>SUMIF(Mercado_Receita!$S$2:$S$345,"44652B1Convencional pré-pagamentoResidencialResidencial baixa renda – faixa 01Não se aplicaNão se aplicaPonta",Mercado_Receita!$L$2:$L$345)+SUMIF(Mercado_Receita!$S$2:$S$345,"44652B1Convencional pré-pagamentoResidencialResidencial baixa renda – faixa 01Não se aplicaNão se aplicaFora ponta",Mercado_Receita!$L$2:$L$345)+SUMIF(Mercado_Receita!$S$2:$S$345,"44652B1Convencional pré-pagamentoResidencialResidencial baixa renda – faixa 01Não se aplicaNão se aplicaIntermediário",Mercado_Receita!$L$2:$L$345)+SUMIF(Mercado_Receita!$S$2:$S$345,"44652B1Convencional pré-pagamentoResidencialResidencial baixa renda – faixa 01Não se aplicaNão se aplicaNão se aplica",Mercado_Receita!$L$2:$L$345)</f>
        <v>0</v>
      </c>
      <c r="Q23" s="13">
        <f>SUMIF(Mercado_Receita!$S$2:$S$345,"44682B1Convencional pré-pagamentoResidencialResidencial baixa renda – faixa 01Não se aplicaNão se aplicaPonta",Mercado_Receita!$L$2:$L$345)+SUMIF(Mercado_Receita!$S$2:$S$345,"44682B1Convencional pré-pagamentoResidencialResidencial baixa renda – faixa 01Não se aplicaNão se aplicaFora ponta",Mercado_Receita!$L$2:$L$345)+SUMIF(Mercado_Receita!$S$2:$S$345,"44682B1Convencional pré-pagamentoResidencialResidencial baixa renda – faixa 01Não se aplicaNão se aplicaIntermediário",Mercado_Receita!$L$2:$L$345)+SUMIF(Mercado_Receita!$S$2:$S$345,"44682B1Convencional pré-pagamentoResidencialResidencial baixa renda – faixa 01Não se aplicaNão se aplicaNão se aplica",Mercado_Receita!$L$2:$L$345)</f>
        <v>0</v>
      </c>
      <c r="R23" s="13">
        <f>SUMIF(Mercado_Receita!$S$2:$S$345,"44713B1Convencional pré-pagamentoResidencialResidencial baixa renda – faixa 01Não se aplicaNão se aplicaPonta",Mercado_Receita!$L$2:$L$345)+SUMIF(Mercado_Receita!$S$2:$S$345,"44713B1Convencional pré-pagamentoResidencialResidencial baixa renda – faixa 01Não se aplicaNão se aplicaFora ponta",Mercado_Receita!$L$2:$L$345)+SUMIF(Mercado_Receita!$S$2:$S$345,"44713B1Convencional pré-pagamentoResidencialResidencial baixa renda – faixa 01Não se aplicaNão se aplicaIntermediário",Mercado_Receita!$L$2:$L$345)+SUMIF(Mercado_Receita!$S$2:$S$345,"44713B1Convencional pré-pagamentoResidencialResidencial baixa renda – faixa 01Não se aplicaNão se aplicaNão se aplica",Mercado_Receita!$L$2:$L$345)</f>
        <v>0</v>
      </c>
      <c r="S23" s="13">
        <f>SUMIF(Mercado_Receita!$S$2:$S$345,"44743B1Convencional pré-pagamentoResidencialResidencial baixa renda – faixa 01Não se aplicaNão se aplicaPonta",Mercado_Receita!$L$2:$L$345)+SUMIF(Mercado_Receita!$S$2:$S$345,"44743B1Convencional pré-pagamentoResidencialResidencial baixa renda – faixa 01Não se aplicaNão se aplicaFora ponta",Mercado_Receita!$L$2:$L$345)+SUMIF(Mercado_Receita!$S$2:$S$345,"44743B1Convencional pré-pagamentoResidencialResidencial baixa renda – faixa 01Não se aplicaNão se aplicaIntermediário",Mercado_Receita!$L$2:$L$345)+SUMIF(Mercado_Receita!$S$2:$S$345,"44743B1Convencional pré-pagamentoResidencialResidencial baixa renda – faixa 01Não se aplicaNão se aplicaNão se aplica",Mercado_Receita!$L$2:$L$345)</f>
        <v>0</v>
      </c>
      <c r="T23" s="13">
        <f>SUMIF(Mercado_Receita!$S$2:$S$345,"44774B1Convencional pré-pagamentoResidencialResidencial baixa renda – faixa 01Não se aplicaNão se aplicaPonta",Mercado_Receita!$L$2:$L$345)+SUMIF(Mercado_Receita!$S$2:$S$345,"44774B1Convencional pré-pagamentoResidencialResidencial baixa renda – faixa 01Não se aplicaNão se aplicaFora ponta",Mercado_Receita!$L$2:$L$345)+SUMIF(Mercado_Receita!$S$2:$S$345,"44774B1Convencional pré-pagamentoResidencialResidencial baixa renda – faixa 01Não se aplicaNão se aplicaIntermediário",Mercado_Receita!$L$2:$L$345)+SUMIF(Mercado_Receita!$S$2:$S$345,"44774B1Convencional pré-pagamentoResidencialResidencial baixa renda – faixa 01Não se aplicaNão se aplicaNão se aplica",Mercado_Receita!$L$2:$L$345)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5"/>
      <c r="B24" s="75"/>
      <c r="C24" s="75"/>
      <c r="D24" s="12" t="s">
        <v>30</v>
      </c>
      <c r="E24" s="12" t="s">
        <v>25</v>
      </c>
      <c r="F24" s="12" t="s">
        <v>25</v>
      </c>
      <c r="G24" s="13" t="s">
        <v>77</v>
      </c>
      <c r="H24" s="13" t="s">
        <v>70</v>
      </c>
      <c r="I24" s="13">
        <f>SUMIF(Mercado_Receita!$S$2:$S$345,"44440B1Convencional pré-pagamentoResidencialResidencial baixa renda – faixa 02Não se aplicaNão se aplicaPonta",Mercado_Receita!$L$2:$L$345)+SUMIF(Mercado_Receita!$S$2:$S$345,"44440B1Convencional pré-pagamentoResidencialResidencial baixa renda – faixa 02Não se aplicaNão se aplicaFora ponta",Mercado_Receita!$L$2:$L$345)+SUMIF(Mercado_Receita!$S$2:$S$345,"44440B1Convencional pré-pagamentoResidencialResidencial baixa renda – faixa 02Não se aplicaNão se aplicaIntermediário",Mercado_Receita!$L$2:$L$345)+SUMIF(Mercado_Receita!$S$2:$S$345,"44440B1Convencional pré-pagamentoResidencialResidencial baixa renda – faixa 02Não se aplicaNão se aplicaNão se aplica",Mercado_Receita!$L$2:$L$345)</f>
        <v>0</v>
      </c>
      <c r="J24" s="13">
        <f>SUMIF(Mercado_Receita!$S$2:$S$345,"44470B1Convencional pré-pagamentoResidencialResidencial baixa renda – faixa 02Não se aplicaNão se aplicaPonta",Mercado_Receita!$L$2:$L$345)+SUMIF(Mercado_Receita!$S$2:$S$345,"44470B1Convencional pré-pagamentoResidencialResidencial baixa renda – faixa 02Não se aplicaNão se aplicaFora ponta",Mercado_Receita!$L$2:$L$345)+SUMIF(Mercado_Receita!$S$2:$S$345,"44470B1Convencional pré-pagamentoResidencialResidencial baixa renda – faixa 02Não se aplicaNão se aplicaIntermediário",Mercado_Receita!$L$2:$L$345)+SUMIF(Mercado_Receita!$S$2:$S$345,"44470B1Convencional pré-pagamentoResidencialResidencial baixa renda – faixa 02Não se aplicaNão se aplicaNão se aplica",Mercado_Receita!$L$2:$L$345)</f>
        <v>0</v>
      </c>
      <c r="K24" s="13">
        <f>SUMIF(Mercado_Receita!$S$2:$S$345,"44501B1Convencional pré-pagamentoResidencialResidencial baixa renda – faixa 02Não se aplicaNão se aplicaPonta",Mercado_Receita!$L$2:$L$345)+SUMIF(Mercado_Receita!$S$2:$S$345,"44501B1Convencional pré-pagamentoResidencialResidencial baixa renda – faixa 02Não se aplicaNão se aplicaFora ponta",Mercado_Receita!$L$2:$L$345)+SUMIF(Mercado_Receita!$S$2:$S$345,"44501B1Convencional pré-pagamentoResidencialResidencial baixa renda – faixa 02Não se aplicaNão se aplicaIntermediário",Mercado_Receita!$L$2:$L$345)+SUMIF(Mercado_Receita!$S$2:$S$345,"44501B1Convencional pré-pagamentoResidencialResidencial baixa renda – faixa 02Não se aplicaNão se aplicaNão se aplica",Mercado_Receita!$L$2:$L$345)</f>
        <v>0</v>
      </c>
      <c r="L24" s="13">
        <f>SUMIF(Mercado_Receita!$S$2:$S$345,"44531B1Convencional pré-pagamentoResidencialResidencial baixa renda – faixa 02Não se aplicaNão se aplicaPonta",Mercado_Receita!$L$2:$L$345)+SUMIF(Mercado_Receita!$S$2:$S$345,"44531B1Convencional pré-pagamentoResidencialResidencial baixa renda – faixa 02Não se aplicaNão se aplicaFora ponta",Mercado_Receita!$L$2:$L$345)+SUMIF(Mercado_Receita!$S$2:$S$345,"44531B1Convencional pré-pagamentoResidencialResidencial baixa renda – faixa 02Não se aplicaNão se aplicaIntermediário",Mercado_Receita!$L$2:$L$345)+SUMIF(Mercado_Receita!$S$2:$S$345,"44531B1Convencional pré-pagamentoResidencialResidencial baixa renda – faixa 02Não se aplicaNão se aplicaNão se aplica",Mercado_Receita!$L$2:$L$345)</f>
        <v>0</v>
      </c>
      <c r="M24" s="13">
        <f>SUMIF(Mercado_Receita!$S$2:$S$345,"44562B1Convencional pré-pagamentoResidencialResidencial baixa renda – faixa 02Não se aplicaNão se aplicaPonta",Mercado_Receita!$L$2:$L$345)+SUMIF(Mercado_Receita!$S$2:$S$345,"44562B1Convencional pré-pagamentoResidencialResidencial baixa renda – faixa 02Não se aplicaNão se aplicaFora ponta",Mercado_Receita!$L$2:$L$345)+SUMIF(Mercado_Receita!$S$2:$S$345,"44562B1Convencional pré-pagamentoResidencialResidencial baixa renda – faixa 02Não se aplicaNão se aplicaIntermediário",Mercado_Receita!$L$2:$L$345)+SUMIF(Mercado_Receita!$S$2:$S$345,"44562B1Convencional pré-pagamentoResidencialResidencial baixa renda – faixa 02Não se aplicaNão se aplicaNão se aplica",Mercado_Receita!$L$2:$L$345)</f>
        <v>0</v>
      </c>
      <c r="N24" s="13">
        <f>SUMIF(Mercado_Receita!$S$2:$S$345,"44593B1Convencional pré-pagamentoResidencialResidencial baixa renda – faixa 02Não se aplicaNão se aplicaPonta",Mercado_Receita!$L$2:$L$345)+SUMIF(Mercado_Receita!$S$2:$S$345,"44593B1Convencional pré-pagamentoResidencialResidencial baixa renda – faixa 02Não se aplicaNão se aplicaFora ponta",Mercado_Receita!$L$2:$L$345)+SUMIF(Mercado_Receita!$S$2:$S$345,"44593B1Convencional pré-pagamentoResidencialResidencial baixa renda – faixa 02Não se aplicaNão se aplicaIntermediário",Mercado_Receita!$L$2:$L$345)+SUMIF(Mercado_Receita!$S$2:$S$345,"44593B1Convencional pré-pagamentoResidencialResidencial baixa renda – faixa 02Não se aplicaNão se aplicaNão se aplica",Mercado_Receita!$L$2:$L$345)</f>
        <v>0</v>
      </c>
      <c r="O24" s="13">
        <f>SUMIF(Mercado_Receita!$S$2:$S$345,"44621B1Convencional pré-pagamentoResidencialResidencial baixa renda – faixa 02Não se aplicaNão se aplicaPonta",Mercado_Receita!$L$2:$L$345)+SUMIF(Mercado_Receita!$S$2:$S$345,"44621B1Convencional pré-pagamentoResidencialResidencial baixa renda – faixa 02Não se aplicaNão se aplicaFora ponta",Mercado_Receita!$L$2:$L$345)+SUMIF(Mercado_Receita!$S$2:$S$345,"44621B1Convencional pré-pagamentoResidencialResidencial baixa renda – faixa 02Não se aplicaNão se aplicaIntermediário",Mercado_Receita!$L$2:$L$345)+SUMIF(Mercado_Receita!$S$2:$S$345,"44621B1Convencional pré-pagamentoResidencialResidencial baixa renda – faixa 02Não se aplicaNão se aplicaNão se aplica",Mercado_Receita!$L$2:$L$345)</f>
        <v>0</v>
      </c>
      <c r="P24" s="13">
        <f>SUMIF(Mercado_Receita!$S$2:$S$345,"44652B1Convencional pré-pagamentoResidencialResidencial baixa renda – faixa 02Não se aplicaNão se aplicaPonta",Mercado_Receita!$L$2:$L$345)+SUMIF(Mercado_Receita!$S$2:$S$345,"44652B1Convencional pré-pagamentoResidencialResidencial baixa renda – faixa 02Não se aplicaNão se aplicaFora ponta",Mercado_Receita!$L$2:$L$345)+SUMIF(Mercado_Receita!$S$2:$S$345,"44652B1Convencional pré-pagamentoResidencialResidencial baixa renda – faixa 02Não se aplicaNão se aplicaIntermediário",Mercado_Receita!$L$2:$L$345)+SUMIF(Mercado_Receita!$S$2:$S$345,"44652B1Convencional pré-pagamentoResidencialResidencial baixa renda – faixa 02Não se aplicaNão se aplicaNão se aplica",Mercado_Receita!$L$2:$L$345)</f>
        <v>0</v>
      </c>
      <c r="Q24" s="13">
        <f>SUMIF(Mercado_Receita!$S$2:$S$345,"44682B1Convencional pré-pagamentoResidencialResidencial baixa renda – faixa 02Não se aplicaNão se aplicaPonta",Mercado_Receita!$L$2:$L$345)+SUMIF(Mercado_Receita!$S$2:$S$345,"44682B1Convencional pré-pagamentoResidencialResidencial baixa renda – faixa 02Não se aplicaNão se aplicaFora ponta",Mercado_Receita!$L$2:$L$345)+SUMIF(Mercado_Receita!$S$2:$S$345,"44682B1Convencional pré-pagamentoResidencialResidencial baixa renda – faixa 02Não se aplicaNão se aplicaIntermediário",Mercado_Receita!$L$2:$L$345)+SUMIF(Mercado_Receita!$S$2:$S$345,"44682B1Convencional pré-pagamentoResidencialResidencial baixa renda – faixa 02Não se aplicaNão se aplicaNão se aplica",Mercado_Receita!$L$2:$L$345)</f>
        <v>0</v>
      </c>
      <c r="R24" s="13">
        <f>SUMIF(Mercado_Receita!$S$2:$S$345,"44713B1Convencional pré-pagamentoResidencialResidencial baixa renda – faixa 02Não se aplicaNão se aplicaPonta",Mercado_Receita!$L$2:$L$345)+SUMIF(Mercado_Receita!$S$2:$S$345,"44713B1Convencional pré-pagamentoResidencialResidencial baixa renda – faixa 02Não se aplicaNão se aplicaFora ponta",Mercado_Receita!$L$2:$L$345)+SUMIF(Mercado_Receita!$S$2:$S$345,"44713B1Convencional pré-pagamentoResidencialResidencial baixa renda – faixa 02Não se aplicaNão se aplicaIntermediário",Mercado_Receita!$L$2:$L$345)+SUMIF(Mercado_Receita!$S$2:$S$345,"44713B1Convencional pré-pagamentoResidencialResidencial baixa renda – faixa 02Não se aplicaNão se aplicaNão se aplica",Mercado_Receita!$L$2:$L$345)</f>
        <v>0</v>
      </c>
      <c r="S24" s="13">
        <f>SUMIF(Mercado_Receita!$S$2:$S$345,"44743B1Convencional pré-pagamentoResidencialResidencial baixa renda – faixa 02Não se aplicaNão se aplicaPonta",Mercado_Receita!$L$2:$L$345)+SUMIF(Mercado_Receita!$S$2:$S$345,"44743B1Convencional pré-pagamentoResidencialResidencial baixa renda – faixa 02Não se aplicaNão se aplicaFora ponta",Mercado_Receita!$L$2:$L$345)+SUMIF(Mercado_Receita!$S$2:$S$345,"44743B1Convencional pré-pagamentoResidencialResidencial baixa renda – faixa 02Não se aplicaNão se aplicaIntermediário",Mercado_Receita!$L$2:$L$345)+SUMIF(Mercado_Receita!$S$2:$S$345,"44743B1Convencional pré-pagamentoResidencialResidencial baixa renda – faixa 02Não se aplicaNão se aplicaNão se aplica",Mercado_Receita!$L$2:$L$345)</f>
        <v>0</v>
      </c>
      <c r="T24" s="13">
        <f>SUMIF(Mercado_Receita!$S$2:$S$345,"44774B1Convencional pré-pagamentoResidencialResidencial baixa renda – faixa 02Não se aplicaNão se aplicaPonta",Mercado_Receita!$L$2:$L$345)+SUMIF(Mercado_Receita!$S$2:$S$345,"44774B1Convencional pré-pagamentoResidencialResidencial baixa renda – faixa 02Não se aplicaNão se aplicaFora ponta",Mercado_Receita!$L$2:$L$345)+SUMIF(Mercado_Receita!$S$2:$S$345,"44774B1Convencional pré-pagamentoResidencialResidencial baixa renda – faixa 02Não se aplicaNão se aplicaIntermediário",Mercado_Receita!$L$2:$L$345)+SUMIF(Mercado_Receita!$S$2:$S$345,"44774B1Convencional pré-pagamentoResidencialResidencial baixa renda – faixa 02Não se aplicaNão se aplicaNão se aplica",Mercado_Receita!$L$2:$L$345)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5"/>
      <c r="B25" s="75"/>
      <c r="C25" s="75"/>
      <c r="D25" s="12" t="s">
        <v>31</v>
      </c>
      <c r="E25" s="12" t="s">
        <v>25</v>
      </c>
      <c r="F25" s="12" t="s">
        <v>25</v>
      </c>
      <c r="G25" s="13" t="s">
        <v>77</v>
      </c>
      <c r="H25" s="13" t="s">
        <v>70</v>
      </c>
      <c r="I25" s="13">
        <f>SUMIF(Mercado_Receita!$S$2:$S$345,"44440B1Convencional pré-pagamentoResidencialResidencial baixa renda – faixa 03Não se aplicaNão se aplicaPonta",Mercado_Receita!$L$2:$L$345)+SUMIF(Mercado_Receita!$S$2:$S$345,"44440B1Convencional pré-pagamentoResidencialResidencial baixa renda – faixa 03Não se aplicaNão se aplicaFora ponta",Mercado_Receita!$L$2:$L$345)+SUMIF(Mercado_Receita!$S$2:$S$345,"44440B1Convencional pré-pagamentoResidencialResidencial baixa renda – faixa 03Não se aplicaNão se aplicaIntermediário",Mercado_Receita!$L$2:$L$345)+SUMIF(Mercado_Receita!$S$2:$S$345,"44440B1Convencional pré-pagamentoResidencialResidencial baixa renda – faixa 03Não se aplicaNão se aplicaNão se aplica",Mercado_Receita!$L$2:$L$345)</f>
        <v>0</v>
      </c>
      <c r="J25" s="13">
        <f>SUMIF(Mercado_Receita!$S$2:$S$345,"44470B1Convencional pré-pagamentoResidencialResidencial baixa renda – faixa 03Não se aplicaNão se aplicaPonta",Mercado_Receita!$L$2:$L$345)+SUMIF(Mercado_Receita!$S$2:$S$345,"44470B1Convencional pré-pagamentoResidencialResidencial baixa renda – faixa 03Não se aplicaNão se aplicaFora ponta",Mercado_Receita!$L$2:$L$345)+SUMIF(Mercado_Receita!$S$2:$S$345,"44470B1Convencional pré-pagamentoResidencialResidencial baixa renda – faixa 03Não se aplicaNão se aplicaIntermediário",Mercado_Receita!$L$2:$L$345)+SUMIF(Mercado_Receita!$S$2:$S$345,"44470B1Convencional pré-pagamentoResidencialResidencial baixa renda – faixa 03Não se aplicaNão se aplicaNão se aplica",Mercado_Receita!$L$2:$L$345)</f>
        <v>0</v>
      </c>
      <c r="K25" s="13">
        <f>SUMIF(Mercado_Receita!$S$2:$S$345,"44501B1Convencional pré-pagamentoResidencialResidencial baixa renda – faixa 03Não se aplicaNão se aplicaPonta",Mercado_Receita!$L$2:$L$345)+SUMIF(Mercado_Receita!$S$2:$S$345,"44501B1Convencional pré-pagamentoResidencialResidencial baixa renda – faixa 03Não se aplicaNão se aplicaFora ponta",Mercado_Receita!$L$2:$L$345)+SUMIF(Mercado_Receita!$S$2:$S$345,"44501B1Convencional pré-pagamentoResidencialResidencial baixa renda – faixa 03Não se aplicaNão se aplicaIntermediário",Mercado_Receita!$L$2:$L$345)+SUMIF(Mercado_Receita!$S$2:$S$345,"44501B1Convencional pré-pagamentoResidencialResidencial baixa renda – faixa 03Não se aplicaNão se aplicaNão se aplica",Mercado_Receita!$L$2:$L$345)</f>
        <v>0</v>
      </c>
      <c r="L25" s="13">
        <f>SUMIF(Mercado_Receita!$S$2:$S$345,"44531B1Convencional pré-pagamentoResidencialResidencial baixa renda – faixa 03Não se aplicaNão se aplicaPonta",Mercado_Receita!$L$2:$L$345)+SUMIF(Mercado_Receita!$S$2:$S$345,"44531B1Convencional pré-pagamentoResidencialResidencial baixa renda – faixa 03Não se aplicaNão se aplicaFora ponta",Mercado_Receita!$L$2:$L$345)+SUMIF(Mercado_Receita!$S$2:$S$345,"44531B1Convencional pré-pagamentoResidencialResidencial baixa renda – faixa 03Não se aplicaNão se aplicaIntermediário",Mercado_Receita!$L$2:$L$345)+SUMIF(Mercado_Receita!$S$2:$S$345,"44531B1Convencional pré-pagamentoResidencialResidencial baixa renda – faixa 03Não se aplicaNão se aplicaNão se aplica",Mercado_Receita!$L$2:$L$345)</f>
        <v>0</v>
      </c>
      <c r="M25" s="13">
        <f>SUMIF(Mercado_Receita!$S$2:$S$345,"44562B1Convencional pré-pagamentoResidencialResidencial baixa renda – faixa 03Não se aplicaNão se aplicaPonta",Mercado_Receita!$L$2:$L$345)+SUMIF(Mercado_Receita!$S$2:$S$345,"44562B1Convencional pré-pagamentoResidencialResidencial baixa renda – faixa 03Não se aplicaNão se aplicaFora ponta",Mercado_Receita!$L$2:$L$345)+SUMIF(Mercado_Receita!$S$2:$S$345,"44562B1Convencional pré-pagamentoResidencialResidencial baixa renda – faixa 03Não se aplicaNão se aplicaIntermediário",Mercado_Receita!$L$2:$L$345)+SUMIF(Mercado_Receita!$S$2:$S$345,"44562B1Convencional pré-pagamentoResidencialResidencial baixa renda – faixa 03Não se aplicaNão se aplicaNão se aplica",Mercado_Receita!$L$2:$L$345)</f>
        <v>0</v>
      </c>
      <c r="N25" s="13">
        <f>SUMIF(Mercado_Receita!$S$2:$S$345,"44593B1Convencional pré-pagamentoResidencialResidencial baixa renda – faixa 03Não se aplicaNão se aplicaPonta",Mercado_Receita!$L$2:$L$345)+SUMIF(Mercado_Receita!$S$2:$S$345,"44593B1Convencional pré-pagamentoResidencialResidencial baixa renda – faixa 03Não se aplicaNão se aplicaFora ponta",Mercado_Receita!$L$2:$L$345)+SUMIF(Mercado_Receita!$S$2:$S$345,"44593B1Convencional pré-pagamentoResidencialResidencial baixa renda – faixa 03Não se aplicaNão se aplicaIntermediário",Mercado_Receita!$L$2:$L$345)+SUMIF(Mercado_Receita!$S$2:$S$345,"44593B1Convencional pré-pagamentoResidencialResidencial baixa renda – faixa 03Não se aplicaNão se aplicaNão se aplica",Mercado_Receita!$L$2:$L$345)</f>
        <v>0</v>
      </c>
      <c r="O25" s="13">
        <f>SUMIF(Mercado_Receita!$S$2:$S$345,"44621B1Convencional pré-pagamentoResidencialResidencial baixa renda – faixa 03Não se aplicaNão se aplicaPonta",Mercado_Receita!$L$2:$L$345)+SUMIF(Mercado_Receita!$S$2:$S$345,"44621B1Convencional pré-pagamentoResidencialResidencial baixa renda – faixa 03Não se aplicaNão se aplicaFora ponta",Mercado_Receita!$L$2:$L$345)+SUMIF(Mercado_Receita!$S$2:$S$345,"44621B1Convencional pré-pagamentoResidencialResidencial baixa renda – faixa 03Não se aplicaNão se aplicaIntermediário",Mercado_Receita!$L$2:$L$345)+SUMIF(Mercado_Receita!$S$2:$S$345,"44621B1Convencional pré-pagamentoResidencialResidencial baixa renda – faixa 03Não se aplicaNão se aplicaNão se aplica",Mercado_Receita!$L$2:$L$345)</f>
        <v>0</v>
      </c>
      <c r="P25" s="13">
        <f>SUMIF(Mercado_Receita!$S$2:$S$345,"44652B1Convencional pré-pagamentoResidencialResidencial baixa renda – faixa 03Não se aplicaNão se aplicaPonta",Mercado_Receita!$L$2:$L$345)+SUMIF(Mercado_Receita!$S$2:$S$345,"44652B1Convencional pré-pagamentoResidencialResidencial baixa renda – faixa 03Não se aplicaNão se aplicaFora ponta",Mercado_Receita!$L$2:$L$345)+SUMIF(Mercado_Receita!$S$2:$S$345,"44652B1Convencional pré-pagamentoResidencialResidencial baixa renda – faixa 03Não se aplicaNão se aplicaIntermediário",Mercado_Receita!$L$2:$L$345)+SUMIF(Mercado_Receita!$S$2:$S$345,"44652B1Convencional pré-pagamentoResidencialResidencial baixa renda – faixa 03Não se aplicaNão se aplicaNão se aplica",Mercado_Receita!$L$2:$L$345)</f>
        <v>0</v>
      </c>
      <c r="Q25" s="13">
        <f>SUMIF(Mercado_Receita!$S$2:$S$345,"44682B1Convencional pré-pagamentoResidencialResidencial baixa renda – faixa 03Não se aplicaNão se aplicaPonta",Mercado_Receita!$L$2:$L$345)+SUMIF(Mercado_Receita!$S$2:$S$345,"44682B1Convencional pré-pagamentoResidencialResidencial baixa renda – faixa 03Não se aplicaNão se aplicaFora ponta",Mercado_Receita!$L$2:$L$345)+SUMIF(Mercado_Receita!$S$2:$S$345,"44682B1Convencional pré-pagamentoResidencialResidencial baixa renda – faixa 03Não se aplicaNão se aplicaIntermediário",Mercado_Receita!$L$2:$L$345)+SUMIF(Mercado_Receita!$S$2:$S$345,"44682B1Convencional pré-pagamentoResidencialResidencial baixa renda – faixa 03Não se aplicaNão se aplicaNão se aplica",Mercado_Receita!$L$2:$L$345)</f>
        <v>0</v>
      </c>
      <c r="R25" s="13">
        <f>SUMIF(Mercado_Receita!$S$2:$S$345,"44713B1Convencional pré-pagamentoResidencialResidencial baixa renda – faixa 03Não se aplicaNão se aplicaPonta",Mercado_Receita!$L$2:$L$345)+SUMIF(Mercado_Receita!$S$2:$S$345,"44713B1Convencional pré-pagamentoResidencialResidencial baixa renda – faixa 03Não se aplicaNão se aplicaFora ponta",Mercado_Receita!$L$2:$L$345)+SUMIF(Mercado_Receita!$S$2:$S$345,"44713B1Convencional pré-pagamentoResidencialResidencial baixa renda – faixa 03Não se aplicaNão se aplicaIntermediário",Mercado_Receita!$L$2:$L$345)+SUMIF(Mercado_Receita!$S$2:$S$345,"44713B1Convencional pré-pagamentoResidencialResidencial baixa renda – faixa 03Não se aplicaNão se aplicaNão se aplica",Mercado_Receita!$L$2:$L$345)</f>
        <v>0</v>
      </c>
      <c r="S25" s="13">
        <f>SUMIF(Mercado_Receita!$S$2:$S$345,"44743B1Convencional pré-pagamentoResidencialResidencial baixa renda – faixa 03Não se aplicaNão se aplicaPonta",Mercado_Receita!$L$2:$L$345)+SUMIF(Mercado_Receita!$S$2:$S$345,"44743B1Convencional pré-pagamentoResidencialResidencial baixa renda – faixa 03Não se aplicaNão se aplicaFora ponta",Mercado_Receita!$L$2:$L$345)+SUMIF(Mercado_Receita!$S$2:$S$345,"44743B1Convencional pré-pagamentoResidencialResidencial baixa renda – faixa 03Não se aplicaNão se aplicaIntermediário",Mercado_Receita!$L$2:$L$345)+SUMIF(Mercado_Receita!$S$2:$S$345,"44743B1Convencional pré-pagamentoResidencialResidencial baixa renda – faixa 03Não se aplicaNão se aplicaNão se aplica",Mercado_Receita!$L$2:$L$345)</f>
        <v>0</v>
      </c>
      <c r="T25" s="13">
        <f>SUMIF(Mercado_Receita!$S$2:$S$345,"44774B1Convencional pré-pagamentoResidencialResidencial baixa renda – faixa 03Não se aplicaNão se aplicaPonta",Mercado_Receita!$L$2:$L$345)+SUMIF(Mercado_Receita!$S$2:$S$345,"44774B1Convencional pré-pagamentoResidencialResidencial baixa renda – faixa 03Não se aplicaNão se aplicaFora ponta",Mercado_Receita!$L$2:$L$345)+SUMIF(Mercado_Receita!$S$2:$S$345,"44774B1Convencional pré-pagamentoResidencialResidencial baixa renda – faixa 03Não se aplicaNão se aplicaIntermediário",Mercado_Receita!$L$2:$L$345)+SUMIF(Mercado_Receita!$S$2:$S$345,"44774B1Convencional pré-pagamentoResidencialResidencial baixa renda – faixa 03Não se aplicaNão se aplicaNão se aplica",Mercado_Receita!$L$2:$L$345)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5"/>
      <c r="B26" s="75"/>
      <c r="C26" s="75"/>
      <c r="D26" s="12" t="s">
        <v>32</v>
      </c>
      <c r="E26" s="12" t="s">
        <v>25</v>
      </c>
      <c r="F26" s="12" t="s">
        <v>25</v>
      </c>
      <c r="G26" s="13" t="s">
        <v>77</v>
      </c>
      <c r="H26" s="13" t="s">
        <v>70</v>
      </c>
      <c r="I26" s="13">
        <f>SUMIF(Mercado_Receita!$S$2:$S$345,"44440B1Convencional pré-pagamentoResidencialResidencial baixa renda – faixa 04Não se aplicaNão se aplicaPonta",Mercado_Receita!$L$2:$L$345)+SUMIF(Mercado_Receita!$S$2:$S$345,"44440B1Convencional pré-pagamentoResidencialResidencial baixa renda – faixa 04Não se aplicaNão se aplicaFora ponta",Mercado_Receita!$L$2:$L$345)+SUMIF(Mercado_Receita!$S$2:$S$345,"44440B1Convencional pré-pagamentoResidencialResidencial baixa renda – faixa 04Não se aplicaNão se aplicaIntermediário",Mercado_Receita!$L$2:$L$345)+SUMIF(Mercado_Receita!$S$2:$S$345,"44440B1Convencional pré-pagamentoResidencialResidencial baixa renda – faixa 04Não se aplicaNão se aplicaNão se aplica",Mercado_Receita!$L$2:$L$345)</f>
        <v>0</v>
      </c>
      <c r="J26" s="13">
        <f>SUMIF(Mercado_Receita!$S$2:$S$345,"44470B1Convencional pré-pagamentoResidencialResidencial baixa renda – faixa 04Não se aplicaNão se aplicaPonta",Mercado_Receita!$L$2:$L$345)+SUMIF(Mercado_Receita!$S$2:$S$345,"44470B1Convencional pré-pagamentoResidencialResidencial baixa renda – faixa 04Não se aplicaNão se aplicaFora ponta",Mercado_Receita!$L$2:$L$345)+SUMIF(Mercado_Receita!$S$2:$S$345,"44470B1Convencional pré-pagamentoResidencialResidencial baixa renda – faixa 04Não se aplicaNão se aplicaIntermediário",Mercado_Receita!$L$2:$L$345)+SUMIF(Mercado_Receita!$S$2:$S$345,"44470B1Convencional pré-pagamentoResidencialResidencial baixa renda – faixa 04Não se aplicaNão se aplicaNão se aplica",Mercado_Receita!$L$2:$L$345)</f>
        <v>0</v>
      </c>
      <c r="K26" s="13">
        <f>SUMIF(Mercado_Receita!$S$2:$S$345,"44501B1Convencional pré-pagamentoResidencialResidencial baixa renda – faixa 04Não se aplicaNão se aplicaPonta",Mercado_Receita!$L$2:$L$345)+SUMIF(Mercado_Receita!$S$2:$S$345,"44501B1Convencional pré-pagamentoResidencialResidencial baixa renda – faixa 04Não se aplicaNão se aplicaFora ponta",Mercado_Receita!$L$2:$L$345)+SUMIF(Mercado_Receita!$S$2:$S$345,"44501B1Convencional pré-pagamentoResidencialResidencial baixa renda – faixa 04Não se aplicaNão se aplicaIntermediário",Mercado_Receita!$L$2:$L$345)+SUMIF(Mercado_Receita!$S$2:$S$345,"44501B1Convencional pré-pagamentoResidencialResidencial baixa renda – faixa 04Não se aplicaNão se aplicaNão se aplica",Mercado_Receita!$L$2:$L$345)</f>
        <v>0</v>
      </c>
      <c r="L26" s="13">
        <f>SUMIF(Mercado_Receita!$S$2:$S$345,"44531B1Convencional pré-pagamentoResidencialResidencial baixa renda – faixa 04Não se aplicaNão se aplicaPonta",Mercado_Receita!$L$2:$L$345)+SUMIF(Mercado_Receita!$S$2:$S$345,"44531B1Convencional pré-pagamentoResidencialResidencial baixa renda – faixa 04Não se aplicaNão se aplicaFora ponta",Mercado_Receita!$L$2:$L$345)+SUMIF(Mercado_Receita!$S$2:$S$345,"44531B1Convencional pré-pagamentoResidencialResidencial baixa renda – faixa 04Não se aplicaNão se aplicaIntermediário",Mercado_Receita!$L$2:$L$345)+SUMIF(Mercado_Receita!$S$2:$S$345,"44531B1Convencional pré-pagamentoResidencialResidencial baixa renda – faixa 04Não se aplicaNão se aplicaNão se aplica",Mercado_Receita!$L$2:$L$345)</f>
        <v>0</v>
      </c>
      <c r="M26" s="13">
        <f>SUMIF(Mercado_Receita!$S$2:$S$345,"44562B1Convencional pré-pagamentoResidencialResidencial baixa renda – faixa 04Não se aplicaNão se aplicaPonta",Mercado_Receita!$L$2:$L$345)+SUMIF(Mercado_Receita!$S$2:$S$345,"44562B1Convencional pré-pagamentoResidencialResidencial baixa renda – faixa 04Não se aplicaNão se aplicaFora ponta",Mercado_Receita!$L$2:$L$345)+SUMIF(Mercado_Receita!$S$2:$S$345,"44562B1Convencional pré-pagamentoResidencialResidencial baixa renda – faixa 04Não se aplicaNão se aplicaIntermediário",Mercado_Receita!$L$2:$L$345)+SUMIF(Mercado_Receita!$S$2:$S$345,"44562B1Convencional pré-pagamentoResidencialResidencial baixa renda – faixa 04Não se aplicaNão se aplicaNão se aplica",Mercado_Receita!$L$2:$L$345)</f>
        <v>0</v>
      </c>
      <c r="N26" s="13">
        <f>SUMIF(Mercado_Receita!$S$2:$S$345,"44593B1Convencional pré-pagamentoResidencialResidencial baixa renda – faixa 04Não se aplicaNão se aplicaPonta",Mercado_Receita!$L$2:$L$345)+SUMIF(Mercado_Receita!$S$2:$S$345,"44593B1Convencional pré-pagamentoResidencialResidencial baixa renda – faixa 04Não se aplicaNão se aplicaFora ponta",Mercado_Receita!$L$2:$L$345)+SUMIF(Mercado_Receita!$S$2:$S$345,"44593B1Convencional pré-pagamentoResidencialResidencial baixa renda – faixa 04Não se aplicaNão se aplicaIntermediário",Mercado_Receita!$L$2:$L$345)+SUMIF(Mercado_Receita!$S$2:$S$345,"44593B1Convencional pré-pagamentoResidencialResidencial baixa renda – faixa 04Não se aplicaNão se aplicaNão se aplica",Mercado_Receita!$L$2:$L$345)</f>
        <v>0</v>
      </c>
      <c r="O26" s="13">
        <f>SUMIF(Mercado_Receita!$S$2:$S$345,"44621B1Convencional pré-pagamentoResidencialResidencial baixa renda – faixa 04Não se aplicaNão se aplicaPonta",Mercado_Receita!$L$2:$L$345)+SUMIF(Mercado_Receita!$S$2:$S$345,"44621B1Convencional pré-pagamentoResidencialResidencial baixa renda – faixa 04Não se aplicaNão se aplicaFora ponta",Mercado_Receita!$L$2:$L$345)+SUMIF(Mercado_Receita!$S$2:$S$345,"44621B1Convencional pré-pagamentoResidencialResidencial baixa renda – faixa 04Não se aplicaNão se aplicaIntermediário",Mercado_Receita!$L$2:$L$345)+SUMIF(Mercado_Receita!$S$2:$S$345,"44621B1Convencional pré-pagamentoResidencialResidencial baixa renda – faixa 04Não se aplicaNão se aplicaNão se aplica",Mercado_Receita!$L$2:$L$345)</f>
        <v>0</v>
      </c>
      <c r="P26" s="13">
        <f>SUMIF(Mercado_Receita!$S$2:$S$345,"44652B1Convencional pré-pagamentoResidencialResidencial baixa renda – faixa 04Não se aplicaNão se aplicaPonta",Mercado_Receita!$L$2:$L$345)+SUMIF(Mercado_Receita!$S$2:$S$345,"44652B1Convencional pré-pagamentoResidencialResidencial baixa renda – faixa 04Não se aplicaNão se aplicaFora ponta",Mercado_Receita!$L$2:$L$345)+SUMIF(Mercado_Receita!$S$2:$S$345,"44652B1Convencional pré-pagamentoResidencialResidencial baixa renda – faixa 04Não se aplicaNão se aplicaIntermediário",Mercado_Receita!$L$2:$L$345)+SUMIF(Mercado_Receita!$S$2:$S$345,"44652B1Convencional pré-pagamentoResidencialResidencial baixa renda – faixa 04Não se aplicaNão se aplicaNão se aplica",Mercado_Receita!$L$2:$L$345)</f>
        <v>0</v>
      </c>
      <c r="Q26" s="13">
        <f>SUMIF(Mercado_Receita!$S$2:$S$345,"44682B1Convencional pré-pagamentoResidencialResidencial baixa renda – faixa 04Não se aplicaNão se aplicaPonta",Mercado_Receita!$L$2:$L$345)+SUMIF(Mercado_Receita!$S$2:$S$345,"44682B1Convencional pré-pagamentoResidencialResidencial baixa renda – faixa 04Não se aplicaNão se aplicaFora ponta",Mercado_Receita!$L$2:$L$345)+SUMIF(Mercado_Receita!$S$2:$S$345,"44682B1Convencional pré-pagamentoResidencialResidencial baixa renda – faixa 04Não se aplicaNão se aplicaIntermediário",Mercado_Receita!$L$2:$L$345)+SUMIF(Mercado_Receita!$S$2:$S$345,"44682B1Convencional pré-pagamentoResidencialResidencial baixa renda – faixa 04Não se aplicaNão se aplicaNão se aplica",Mercado_Receita!$L$2:$L$345)</f>
        <v>0</v>
      </c>
      <c r="R26" s="13">
        <f>SUMIF(Mercado_Receita!$S$2:$S$345,"44713B1Convencional pré-pagamentoResidencialResidencial baixa renda – faixa 04Não se aplicaNão se aplicaPonta",Mercado_Receita!$L$2:$L$345)+SUMIF(Mercado_Receita!$S$2:$S$345,"44713B1Convencional pré-pagamentoResidencialResidencial baixa renda – faixa 04Não se aplicaNão se aplicaFora ponta",Mercado_Receita!$L$2:$L$345)+SUMIF(Mercado_Receita!$S$2:$S$345,"44713B1Convencional pré-pagamentoResidencialResidencial baixa renda – faixa 04Não se aplicaNão se aplicaIntermediário",Mercado_Receita!$L$2:$L$345)+SUMIF(Mercado_Receita!$S$2:$S$345,"44713B1Convencional pré-pagamentoResidencialResidencial baixa renda – faixa 04Não se aplicaNão se aplicaNão se aplica",Mercado_Receita!$L$2:$L$345)</f>
        <v>0</v>
      </c>
      <c r="S26" s="13">
        <f>SUMIF(Mercado_Receita!$S$2:$S$345,"44743B1Convencional pré-pagamentoResidencialResidencial baixa renda – faixa 04Não se aplicaNão se aplicaPonta",Mercado_Receita!$L$2:$L$345)+SUMIF(Mercado_Receita!$S$2:$S$345,"44743B1Convencional pré-pagamentoResidencialResidencial baixa renda – faixa 04Não se aplicaNão se aplicaFora ponta",Mercado_Receita!$L$2:$L$345)+SUMIF(Mercado_Receita!$S$2:$S$345,"44743B1Convencional pré-pagamentoResidencialResidencial baixa renda – faixa 04Não se aplicaNão se aplicaIntermediário",Mercado_Receita!$L$2:$L$345)+SUMIF(Mercado_Receita!$S$2:$S$345,"44743B1Convencional pré-pagamentoResidencialResidencial baixa renda – faixa 04Não se aplicaNão se aplicaNão se aplica",Mercado_Receita!$L$2:$L$345)</f>
        <v>0</v>
      </c>
      <c r="T26" s="13">
        <f>SUMIF(Mercado_Receita!$S$2:$S$345,"44774B1Convencional pré-pagamentoResidencialResidencial baixa renda – faixa 04Não se aplicaNão se aplicaPonta",Mercado_Receita!$L$2:$L$345)+SUMIF(Mercado_Receita!$S$2:$S$345,"44774B1Convencional pré-pagamentoResidencialResidencial baixa renda – faixa 04Não se aplicaNão se aplicaFora ponta",Mercado_Receita!$L$2:$L$345)+SUMIF(Mercado_Receita!$S$2:$S$345,"44774B1Convencional pré-pagamentoResidencialResidencial baixa renda – faixa 04Não se aplicaNão se aplicaIntermediário",Mercado_Receita!$L$2:$L$345)+SUMIF(Mercado_Receita!$S$2:$S$345,"44774B1Convencional pré-pagamentoResidencialResidencial baixa renda – faixa 04Não se aplicaNão se aplicaNão se aplica",Mercado_Receita!$L$2:$L$345)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4" t="s">
        <v>40</v>
      </c>
      <c r="B27" s="74" t="s">
        <v>85</v>
      </c>
      <c r="C27" s="74" t="s">
        <v>41</v>
      </c>
      <c r="D27" s="74" t="s">
        <v>25</v>
      </c>
      <c r="E27" s="74" t="s">
        <v>25</v>
      </c>
      <c r="F27" s="74" t="s">
        <v>25</v>
      </c>
      <c r="G27" s="13" t="s">
        <v>71</v>
      </c>
      <c r="H27" s="13" t="s">
        <v>70</v>
      </c>
      <c r="I27" s="13">
        <f>SUMIF(Mercado_Receita!$S$2:$S$345,"44440B2BrancaRuralNão se aplicaNão se aplicaNão se aplicaPonta",Mercado_Receita!$L$2:$L$345)</f>
        <v>0</v>
      </c>
      <c r="J27" s="13">
        <f>SUMIF(Mercado_Receita!$S$2:$S$345,"44470B2BrancaRuralNão se aplicaNão se aplicaNão se aplicaPonta",Mercado_Receita!$L$2:$L$345)</f>
        <v>0</v>
      </c>
      <c r="K27" s="13">
        <f>SUMIF(Mercado_Receita!$S$2:$S$345,"44501B2BrancaRuralNão se aplicaNão se aplicaNão se aplicaPonta",Mercado_Receita!$L$2:$L$345)</f>
        <v>0</v>
      </c>
      <c r="L27" s="13">
        <f>SUMIF(Mercado_Receita!$S$2:$S$345,"44531B2BrancaRuralNão se aplicaNão se aplicaNão se aplicaPonta",Mercado_Receita!$L$2:$L$345)</f>
        <v>0</v>
      </c>
      <c r="M27" s="13">
        <f>SUMIF(Mercado_Receita!$S$2:$S$345,"44562B2BrancaRuralNão se aplicaNão se aplicaNão se aplicaPonta",Mercado_Receita!$L$2:$L$345)</f>
        <v>0</v>
      </c>
      <c r="N27" s="13">
        <f>SUMIF(Mercado_Receita!$S$2:$S$345,"44593B2BrancaRuralNão se aplicaNão se aplicaNão se aplicaPonta",Mercado_Receita!$L$2:$L$345)</f>
        <v>0</v>
      </c>
      <c r="O27" s="13">
        <f>SUMIF(Mercado_Receita!$S$2:$S$345,"44621B2BrancaRuralNão se aplicaNão se aplicaNão se aplicaPonta",Mercado_Receita!$L$2:$L$345)</f>
        <v>0</v>
      </c>
      <c r="P27" s="13">
        <f>SUMIF(Mercado_Receita!$S$2:$S$345,"44652B2BrancaRuralNão se aplicaNão se aplicaNão se aplicaPonta",Mercado_Receita!$L$2:$L$345)</f>
        <v>0</v>
      </c>
      <c r="Q27" s="13">
        <f>SUMIF(Mercado_Receita!$S$2:$S$345,"44682B2BrancaRuralNão se aplicaNão se aplicaNão se aplicaPonta",Mercado_Receita!$L$2:$L$345)</f>
        <v>0</v>
      </c>
      <c r="R27" s="13">
        <f>SUMIF(Mercado_Receita!$S$2:$S$345,"44713B2BrancaRuralNão se aplicaNão se aplicaNão se aplicaPonta",Mercado_Receita!$L$2:$L$345)</f>
        <v>0</v>
      </c>
      <c r="S27" s="13">
        <f>SUMIF(Mercado_Receita!$S$2:$S$345,"44743B2BrancaRuralNão se aplicaNão se aplicaNão se aplicaPonta",Mercado_Receita!$L$2:$L$345)</f>
        <v>0</v>
      </c>
      <c r="T27" s="13">
        <f>SUMIF(Mercado_Receita!$S$2:$S$345,"44774B2BrancaRuralNão se aplicaNão se aplicaNão se aplicaPonta",Mercado_Receita!$L$2:$L$345)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5"/>
      <c r="B28" s="75"/>
      <c r="C28" s="75"/>
      <c r="D28" s="75"/>
      <c r="E28" s="75"/>
      <c r="F28" s="75"/>
      <c r="G28" s="13" t="s">
        <v>83</v>
      </c>
      <c r="H28" s="13" t="s">
        <v>70</v>
      </c>
      <c r="I28" s="13">
        <f>SUMIF(Mercado_Receita!$S$2:$S$345,"44440B2BrancaRuralNão se aplicaNão se aplicaNão se aplicaIntermediário",Mercado_Receita!$L$2:$L$345)</f>
        <v>0</v>
      </c>
      <c r="J28" s="13">
        <f>SUMIF(Mercado_Receita!$S$2:$S$345,"44470B2BrancaRuralNão se aplicaNão se aplicaNão se aplicaIntermediário",Mercado_Receita!$L$2:$L$345)</f>
        <v>0</v>
      </c>
      <c r="K28" s="13">
        <f>SUMIF(Mercado_Receita!$S$2:$S$345,"44501B2BrancaRuralNão se aplicaNão se aplicaNão se aplicaIntermediário",Mercado_Receita!$L$2:$L$345)</f>
        <v>0</v>
      </c>
      <c r="L28" s="13">
        <f>SUMIF(Mercado_Receita!$S$2:$S$345,"44531B2BrancaRuralNão se aplicaNão se aplicaNão se aplicaIntermediário",Mercado_Receita!$L$2:$L$345)</f>
        <v>0</v>
      </c>
      <c r="M28" s="13">
        <f>SUMIF(Mercado_Receita!$S$2:$S$345,"44562B2BrancaRuralNão se aplicaNão se aplicaNão se aplicaIntermediário",Mercado_Receita!$L$2:$L$345)</f>
        <v>0</v>
      </c>
      <c r="N28" s="13">
        <f>SUMIF(Mercado_Receita!$S$2:$S$345,"44593B2BrancaRuralNão se aplicaNão se aplicaNão se aplicaIntermediário",Mercado_Receita!$L$2:$L$345)</f>
        <v>0</v>
      </c>
      <c r="O28" s="13">
        <f>SUMIF(Mercado_Receita!$S$2:$S$345,"44621B2BrancaRuralNão se aplicaNão se aplicaNão se aplicaIntermediário",Mercado_Receita!$L$2:$L$345)</f>
        <v>0</v>
      </c>
      <c r="P28" s="13">
        <f>SUMIF(Mercado_Receita!$S$2:$S$345,"44652B2BrancaRuralNão se aplicaNão se aplicaNão se aplicaIntermediário",Mercado_Receita!$L$2:$L$345)</f>
        <v>0</v>
      </c>
      <c r="Q28" s="13">
        <f>SUMIF(Mercado_Receita!$S$2:$S$345,"44682B2BrancaRuralNão se aplicaNão se aplicaNão se aplicaIntermediário",Mercado_Receita!$L$2:$L$345)</f>
        <v>0</v>
      </c>
      <c r="R28" s="13">
        <f>SUMIF(Mercado_Receita!$S$2:$S$345,"44713B2BrancaRuralNão se aplicaNão se aplicaNão se aplicaIntermediário",Mercado_Receita!$L$2:$L$345)</f>
        <v>0</v>
      </c>
      <c r="S28" s="13">
        <f>SUMIF(Mercado_Receita!$S$2:$S$345,"44743B2BrancaRuralNão se aplicaNão se aplicaNão se aplicaIntermediário",Mercado_Receita!$L$2:$L$345)</f>
        <v>0</v>
      </c>
      <c r="T28" s="13">
        <f>SUMIF(Mercado_Receita!$S$2:$S$345,"44774B2BrancaRuralNão se aplicaNão se aplicaNão se aplicaIntermediário",Mercado_Receita!$L$2:$L$345)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5"/>
      <c r="B29" s="75"/>
      <c r="C29" s="75"/>
      <c r="D29" s="75"/>
      <c r="E29" s="75"/>
      <c r="F29" s="75"/>
      <c r="G29" s="13" t="s">
        <v>72</v>
      </c>
      <c r="H29" s="13" t="s">
        <v>70</v>
      </c>
      <c r="I29" s="13">
        <f>SUMIF(Mercado_Receita!$S$2:$S$345,"44440B2BrancaRuralNão se aplicaNão se aplicaNão se aplicaFora ponta",Mercado_Receita!$L$2:$L$345)</f>
        <v>0</v>
      </c>
      <c r="J29" s="13">
        <f>SUMIF(Mercado_Receita!$S$2:$S$345,"44470B2BrancaRuralNão se aplicaNão se aplicaNão se aplicaFora ponta",Mercado_Receita!$L$2:$L$345)</f>
        <v>0</v>
      </c>
      <c r="K29" s="13">
        <f>SUMIF(Mercado_Receita!$S$2:$S$345,"44501B2BrancaRuralNão se aplicaNão se aplicaNão se aplicaFora ponta",Mercado_Receita!$L$2:$L$345)</f>
        <v>0</v>
      </c>
      <c r="L29" s="13">
        <f>SUMIF(Mercado_Receita!$S$2:$S$345,"44531B2BrancaRuralNão se aplicaNão se aplicaNão se aplicaFora ponta",Mercado_Receita!$L$2:$L$345)</f>
        <v>0</v>
      </c>
      <c r="M29" s="13">
        <f>SUMIF(Mercado_Receita!$S$2:$S$345,"44562B2BrancaRuralNão se aplicaNão se aplicaNão se aplicaFora ponta",Mercado_Receita!$L$2:$L$345)</f>
        <v>0</v>
      </c>
      <c r="N29" s="13">
        <f>SUMIF(Mercado_Receita!$S$2:$S$345,"44593B2BrancaRuralNão se aplicaNão se aplicaNão se aplicaFora ponta",Mercado_Receita!$L$2:$L$345)</f>
        <v>0</v>
      </c>
      <c r="O29" s="13">
        <f>SUMIF(Mercado_Receita!$S$2:$S$345,"44621B2BrancaRuralNão se aplicaNão se aplicaNão se aplicaFora ponta",Mercado_Receita!$L$2:$L$345)</f>
        <v>0</v>
      </c>
      <c r="P29" s="13">
        <f>SUMIF(Mercado_Receita!$S$2:$S$345,"44652B2BrancaRuralNão se aplicaNão se aplicaNão se aplicaFora ponta",Mercado_Receita!$L$2:$L$345)</f>
        <v>0</v>
      </c>
      <c r="Q29" s="13">
        <f>SUMIF(Mercado_Receita!$S$2:$S$345,"44682B2BrancaRuralNão se aplicaNão se aplicaNão se aplicaFora ponta",Mercado_Receita!$L$2:$L$345)</f>
        <v>0</v>
      </c>
      <c r="R29" s="13">
        <f>SUMIF(Mercado_Receita!$S$2:$S$345,"44713B2BrancaRuralNão se aplicaNão se aplicaNão se aplicaFora ponta",Mercado_Receita!$L$2:$L$345)</f>
        <v>0</v>
      </c>
      <c r="S29" s="13">
        <f>SUMIF(Mercado_Receita!$S$2:$S$345,"44743B2BrancaRuralNão se aplicaNão se aplicaNão se aplicaFora ponta",Mercado_Receita!$L$2:$L$345)</f>
        <v>0</v>
      </c>
      <c r="T29" s="13">
        <f>SUMIF(Mercado_Receita!$S$2:$S$345,"44774B2BrancaRuralNão se aplicaNão se aplicaNão se aplicaFora ponta",Mercado_Receita!$L$2:$L$345)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5"/>
      <c r="B30" s="12" t="s">
        <v>23</v>
      </c>
      <c r="C30" s="12" t="s">
        <v>41</v>
      </c>
      <c r="D30" s="12" t="s">
        <v>25</v>
      </c>
      <c r="E30" s="12" t="s">
        <v>25</v>
      </c>
      <c r="F30" s="12" t="s">
        <v>25</v>
      </c>
      <c r="G30" s="13" t="s">
        <v>77</v>
      </c>
      <c r="H30" s="13" t="s">
        <v>70</v>
      </c>
      <c r="I30" s="13">
        <f>SUMIF(Mercado_Receita!$S$2:$S$345,"44440B2ConvencionalRuralNão se aplicaNão se aplicaNão se aplicaPonta",Mercado_Receita!$L$2:$L$345)+SUMIF(Mercado_Receita!$S$2:$S$345,"44440B2ConvencionalRuralNão se aplicaNão se aplicaNão se aplicaFora ponta",Mercado_Receita!$L$2:$L$345)+SUMIF(Mercado_Receita!$S$2:$S$345,"44440B2ConvencionalRuralNão se aplicaNão se aplicaNão se aplicaIntermediário",Mercado_Receita!$L$2:$L$345)+SUMIF(Mercado_Receita!$S$2:$S$345,"44440B2ConvencionalRuralNão se aplicaNão se aplicaNão se aplicaNão se aplica",Mercado_Receita!$L$2:$L$345)</f>
        <v>278.78999999999996</v>
      </c>
      <c r="J30" s="13">
        <f>SUMIF(Mercado_Receita!$S$2:$S$345,"44470B2ConvencionalRuralNão se aplicaNão se aplicaNão se aplicaPonta",Mercado_Receita!$L$2:$L$345)+SUMIF(Mercado_Receita!$S$2:$S$345,"44470B2ConvencionalRuralNão se aplicaNão se aplicaNão se aplicaFora ponta",Mercado_Receita!$L$2:$L$345)+SUMIF(Mercado_Receita!$S$2:$S$345,"44470B2ConvencionalRuralNão se aplicaNão se aplicaNão se aplicaIntermediário",Mercado_Receita!$L$2:$L$345)+SUMIF(Mercado_Receita!$S$2:$S$345,"44470B2ConvencionalRuralNão se aplicaNão se aplicaNão se aplicaNão se aplica",Mercado_Receita!$L$2:$L$345)</f>
        <v>239.21199999999999</v>
      </c>
      <c r="K30" s="13">
        <f>SUMIF(Mercado_Receita!$S$2:$S$345,"44501B2ConvencionalRuralNão se aplicaNão se aplicaNão se aplicaPonta",Mercado_Receita!$L$2:$L$345)+SUMIF(Mercado_Receita!$S$2:$S$345,"44501B2ConvencionalRuralNão se aplicaNão se aplicaNão se aplicaFora ponta",Mercado_Receita!$L$2:$L$345)+SUMIF(Mercado_Receita!$S$2:$S$345,"44501B2ConvencionalRuralNão se aplicaNão se aplicaNão se aplicaIntermediário",Mercado_Receita!$L$2:$L$345)+SUMIF(Mercado_Receita!$S$2:$S$345,"44501B2ConvencionalRuralNão se aplicaNão se aplicaNão se aplicaNão se aplica",Mercado_Receita!$L$2:$L$345)</f>
        <v>270.37900000000002</v>
      </c>
      <c r="L30" s="13">
        <f>SUMIF(Mercado_Receita!$S$2:$S$345,"44531B2ConvencionalRuralNão se aplicaNão se aplicaNão se aplicaPonta",Mercado_Receita!$L$2:$L$345)+SUMIF(Mercado_Receita!$S$2:$S$345,"44531B2ConvencionalRuralNão se aplicaNão se aplicaNão se aplicaFora ponta",Mercado_Receita!$L$2:$L$345)+SUMIF(Mercado_Receita!$S$2:$S$345,"44531B2ConvencionalRuralNão se aplicaNão se aplicaNão se aplicaIntermediário",Mercado_Receita!$L$2:$L$345)+SUMIF(Mercado_Receita!$S$2:$S$345,"44531B2ConvencionalRuralNão se aplicaNão se aplicaNão se aplicaNão se aplica",Mercado_Receita!$L$2:$L$345)</f>
        <v>314.57400000000001</v>
      </c>
      <c r="M30" s="13">
        <f>SUMIF(Mercado_Receita!$S$2:$S$345,"44562B2ConvencionalRuralNão se aplicaNão se aplicaNão se aplicaPonta",Mercado_Receita!$L$2:$L$345)+SUMIF(Mercado_Receita!$S$2:$S$345,"44562B2ConvencionalRuralNão se aplicaNão se aplicaNão se aplicaFora ponta",Mercado_Receita!$L$2:$L$345)+SUMIF(Mercado_Receita!$S$2:$S$345,"44562B2ConvencionalRuralNão se aplicaNão se aplicaNão se aplicaIntermediário",Mercado_Receita!$L$2:$L$345)+SUMIF(Mercado_Receita!$S$2:$S$345,"44562B2ConvencionalRuralNão se aplicaNão se aplicaNão se aplicaNão se aplica",Mercado_Receita!$L$2:$L$345)</f>
        <v>343.666</v>
      </c>
      <c r="N30" s="13">
        <f>SUMIF(Mercado_Receita!$S$2:$S$345,"44593B2ConvencionalRuralNão se aplicaNão se aplicaNão se aplicaPonta",Mercado_Receita!$L$2:$L$345)+SUMIF(Mercado_Receita!$S$2:$S$345,"44593B2ConvencionalRuralNão se aplicaNão se aplicaNão se aplicaFora ponta",Mercado_Receita!$L$2:$L$345)+SUMIF(Mercado_Receita!$S$2:$S$345,"44593B2ConvencionalRuralNão se aplicaNão se aplicaNão se aplicaIntermediário",Mercado_Receita!$L$2:$L$345)+SUMIF(Mercado_Receita!$S$2:$S$345,"44593B2ConvencionalRuralNão se aplicaNão se aplicaNão se aplicaNão se aplica",Mercado_Receita!$L$2:$L$345)</f>
        <v>281.56900000000002</v>
      </c>
      <c r="O30" s="13">
        <f>SUMIF(Mercado_Receita!$S$2:$S$345,"44621B2ConvencionalRuralNão se aplicaNão se aplicaNão se aplicaPonta",Mercado_Receita!$L$2:$L$345)+SUMIF(Mercado_Receita!$S$2:$S$345,"44621B2ConvencionalRuralNão se aplicaNão se aplicaNão se aplicaFora ponta",Mercado_Receita!$L$2:$L$345)+SUMIF(Mercado_Receita!$S$2:$S$345,"44621B2ConvencionalRuralNão se aplicaNão se aplicaNão se aplicaIntermediário",Mercado_Receita!$L$2:$L$345)+SUMIF(Mercado_Receita!$S$2:$S$345,"44621B2ConvencionalRuralNão se aplicaNão se aplicaNão se aplicaNão se aplica",Mercado_Receita!$L$2:$L$345)</f>
        <v>274.07600000000002</v>
      </c>
      <c r="P30" s="13">
        <f>SUMIF(Mercado_Receita!$S$2:$S$345,"44652B2ConvencionalRuralNão se aplicaNão se aplicaNão se aplicaPonta",Mercado_Receita!$L$2:$L$345)+SUMIF(Mercado_Receita!$S$2:$S$345,"44652B2ConvencionalRuralNão se aplicaNão se aplicaNão se aplicaFora ponta",Mercado_Receita!$L$2:$L$345)+SUMIF(Mercado_Receita!$S$2:$S$345,"44652B2ConvencionalRuralNão se aplicaNão se aplicaNão se aplicaIntermediário",Mercado_Receita!$L$2:$L$345)+SUMIF(Mercado_Receita!$S$2:$S$345,"44652B2ConvencionalRuralNão se aplicaNão se aplicaNão se aplicaNão se aplica",Mercado_Receita!$L$2:$L$345)</f>
        <v>269.07799999999997</v>
      </c>
      <c r="Q30" s="13">
        <f>SUMIF(Mercado_Receita!$S$2:$S$345,"44682B2ConvencionalRuralNão se aplicaNão se aplicaNão se aplicaPonta",Mercado_Receita!$L$2:$L$345)+SUMIF(Mercado_Receita!$S$2:$S$345,"44682B2ConvencionalRuralNão se aplicaNão se aplicaNão se aplicaFora ponta",Mercado_Receita!$L$2:$L$345)+SUMIF(Mercado_Receita!$S$2:$S$345,"44682B2ConvencionalRuralNão se aplicaNão se aplicaNão se aplicaIntermediário",Mercado_Receita!$L$2:$L$345)+SUMIF(Mercado_Receita!$S$2:$S$345,"44682B2ConvencionalRuralNão se aplicaNão se aplicaNão se aplicaNão se aplica",Mercado_Receita!$L$2:$L$345)</f>
        <v>241.43599999999998</v>
      </c>
      <c r="R30" s="13">
        <f>SUMIF(Mercado_Receita!$S$2:$S$345,"44713B2ConvencionalRuralNão se aplicaNão se aplicaNão se aplicaPonta",Mercado_Receita!$L$2:$L$345)+SUMIF(Mercado_Receita!$S$2:$S$345,"44713B2ConvencionalRuralNão se aplicaNão se aplicaNão se aplicaFora ponta",Mercado_Receita!$L$2:$L$345)+SUMIF(Mercado_Receita!$S$2:$S$345,"44713B2ConvencionalRuralNão se aplicaNão se aplicaNão se aplicaIntermediário",Mercado_Receita!$L$2:$L$345)+SUMIF(Mercado_Receita!$S$2:$S$345,"44713B2ConvencionalRuralNão se aplicaNão se aplicaNão se aplicaNão se aplica",Mercado_Receita!$L$2:$L$345)</f>
        <v>279.721</v>
      </c>
      <c r="S30" s="13">
        <f>SUMIF(Mercado_Receita!$S$2:$S$345,"44743B2ConvencionalRuralNão se aplicaNão se aplicaNão se aplicaPonta",Mercado_Receita!$L$2:$L$345)+SUMIF(Mercado_Receita!$S$2:$S$345,"44743B2ConvencionalRuralNão se aplicaNão se aplicaNão se aplicaFora ponta",Mercado_Receita!$L$2:$L$345)+SUMIF(Mercado_Receita!$S$2:$S$345,"44743B2ConvencionalRuralNão se aplicaNão se aplicaNão se aplicaIntermediário",Mercado_Receita!$L$2:$L$345)+SUMIF(Mercado_Receita!$S$2:$S$345,"44743B2ConvencionalRuralNão se aplicaNão se aplicaNão se aplicaNão se aplica",Mercado_Receita!$L$2:$L$345)</f>
        <v>233.857</v>
      </c>
      <c r="T30" s="13">
        <f>SUMIF(Mercado_Receita!$S$2:$S$345,"44774B2ConvencionalRuralNão se aplicaNão se aplicaNão se aplicaPonta",Mercado_Receita!$L$2:$L$345)+SUMIF(Mercado_Receita!$S$2:$S$345,"44774B2ConvencionalRuralNão se aplicaNão se aplicaNão se aplicaFora ponta",Mercado_Receita!$L$2:$L$345)+SUMIF(Mercado_Receita!$S$2:$S$345,"44774B2ConvencionalRuralNão se aplicaNão se aplicaNão se aplicaIntermediário",Mercado_Receita!$L$2:$L$345)+SUMIF(Mercado_Receita!$S$2:$S$345,"44774B2ConvencionalRuralNão se aplicaNão se aplicaNão se aplicaNão se aplica",Mercado_Receita!$L$2:$L$345)</f>
        <v>257.06200000000001</v>
      </c>
      <c r="U30" s="13">
        <f t="shared" si="0"/>
        <v>3283.42</v>
      </c>
      <c r="V30" s="13"/>
      <c r="W30" s="13"/>
    </row>
    <row r="31" spans="1:23" ht="11.25" customHeight="1" x14ac:dyDescent="0.25">
      <c r="A31" s="75"/>
      <c r="B31" s="74" t="s">
        <v>85</v>
      </c>
      <c r="C31" s="74" t="s">
        <v>41</v>
      </c>
      <c r="D31" s="74" t="s">
        <v>88</v>
      </c>
      <c r="E31" s="74" t="s">
        <v>25</v>
      </c>
      <c r="F31" s="74" t="s">
        <v>25</v>
      </c>
      <c r="G31" s="13" t="s">
        <v>71</v>
      </c>
      <c r="H31" s="13" t="s">
        <v>70</v>
      </c>
      <c r="I31" s="13">
        <f>SUMIF(Mercado_Receita!$S$2:$S$345,"44440B2BrancaRuralCooperativa de eletrificação ruralNão se aplicaNão se aplicaPonta",Mercado_Receita!$L$2:$L$345)</f>
        <v>0</v>
      </c>
      <c r="J31" s="13">
        <f>SUMIF(Mercado_Receita!$S$2:$S$345,"44470B2BrancaRuralCooperativa de eletrificação ruralNão se aplicaNão se aplicaPonta",Mercado_Receita!$L$2:$L$345)</f>
        <v>0</v>
      </c>
      <c r="K31" s="13">
        <f>SUMIF(Mercado_Receita!$S$2:$S$345,"44501B2BrancaRuralCooperativa de eletrificação ruralNão se aplicaNão se aplicaPonta",Mercado_Receita!$L$2:$L$345)</f>
        <v>0</v>
      </c>
      <c r="L31" s="13">
        <f>SUMIF(Mercado_Receita!$S$2:$S$345,"44531B2BrancaRuralCooperativa de eletrificação ruralNão se aplicaNão se aplicaPonta",Mercado_Receita!$L$2:$L$345)</f>
        <v>0</v>
      </c>
      <c r="M31" s="13">
        <f>SUMIF(Mercado_Receita!$S$2:$S$345,"44562B2BrancaRuralCooperativa de eletrificação ruralNão se aplicaNão se aplicaPonta",Mercado_Receita!$L$2:$L$345)</f>
        <v>0</v>
      </c>
      <c r="N31" s="13">
        <f>SUMIF(Mercado_Receita!$S$2:$S$345,"44593B2BrancaRuralCooperativa de eletrificação ruralNão se aplicaNão se aplicaPonta",Mercado_Receita!$L$2:$L$345)</f>
        <v>0</v>
      </c>
      <c r="O31" s="13">
        <f>SUMIF(Mercado_Receita!$S$2:$S$345,"44621B2BrancaRuralCooperativa de eletrificação ruralNão se aplicaNão se aplicaPonta",Mercado_Receita!$L$2:$L$345)</f>
        <v>0</v>
      </c>
      <c r="P31" s="13">
        <f>SUMIF(Mercado_Receita!$S$2:$S$345,"44652B2BrancaRuralCooperativa de eletrificação ruralNão se aplicaNão se aplicaPonta",Mercado_Receita!$L$2:$L$345)</f>
        <v>0</v>
      </c>
      <c r="Q31" s="13">
        <f>SUMIF(Mercado_Receita!$S$2:$S$345,"44682B2BrancaRuralCooperativa de eletrificação ruralNão se aplicaNão se aplicaPonta",Mercado_Receita!$L$2:$L$345)</f>
        <v>0</v>
      </c>
      <c r="R31" s="13">
        <f>SUMIF(Mercado_Receita!$S$2:$S$345,"44713B2BrancaRuralCooperativa de eletrificação ruralNão se aplicaNão se aplicaPonta",Mercado_Receita!$L$2:$L$345)</f>
        <v>0</v>
      </c>
      <c r="S31" s="13">
        <f>SUMIF(Mercado_Receita!$S$2:$S$345,"44743B2BrancaRuralCooperativa de eletrificação ruralNão se aplicaNão se aplicaPonta",Mercado_Receita!$L$2:$L$345)</f>
        <v>0</v>
      </c>
      <c r="T31" s="13">
        <f>SUMIF(Mercado_Receita!$S$2:$S$345,"44774B2BrancaRuralCooperativa de eletrificação ruralNão se aplicaNão se aplicaPonta",Mercado_Receita!$L$2:$L$345)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5"/>
      <c r="B32" s="75"/>
      <c r="C32" s="75"/>
      <c r="D32" s="75"/>
      <c r="E32" s="75"/>
      <c r="F32" s="75"/>
      <c r="G32" s="13" t="s">
        <v>83</v>
      </c>
      <c r="H32" s="13" t="s">
        <v>70</v>
      </c>
      <c r="I32" s="13">
        <f>SUMIF(Mercado_Receita!$S$2:$S$345,"44440B2BrancaRuralCooperativa de eletrificação ruralNão se aplicaNão se aplicaIntermediário",Mercado_Receita!$L$2:$L$345)</f>
        <v>0</v>
      </c>
      <c r="J32" s="13">
        <f>SUMIF(Mercado_Receita!$S$2:$S$345,"44470B2BrancaRuralCooperativa de eletrificação ruralNão se aplicaNão se aplicaIntermediário",Mercado_Receita!$L$2:$L$345)</f>
        <v>0</v>
      </c>
      <c r="K32" s="13">
        <f>SUMIF(Mercado_Receita!$S$2:$S$345,"44501B2BrancaRuralCooperativa de eletrificação ruralNão se aplicaNão se aplicaIntermediário",Mercado_Receita!$L$2:$L$345)</f>
        <v>0</v>
      </c>
      <c r="L32" s="13">
        <f>SUMIF(Mercado_Receita!$S$2:$S$345,"44531B2BrancaRuralCooperativa de eletrificação ruralNão se aplicaNão se aplicaIntermediário",Mercado_Receita!$L$2:$L$345)</f>
        <v>0</v>
      </c>
      <c r="M32" s="13">
        <f>SUMIF(Mercado_Receita!$S$2:$S$345,"44562B2BrancaRuralCooperativa de eletrificação ruralNão se aplicaNão se aplicaIntermediário",Mercado_Receita!$L$2:$L$345)</f>
        <v>0</v>
      </c>
      <c r="N32" s="13">
        <f>SUMIF(Mercado_Receita!$S$2:$S$345,"44593B2BrancaRuralCooperativa de eletrificação ruralNão se aplicaNão se aplicaIntermediário",Mercado_Receita!$L$2:$L$345)</f>
        <v>0</v>
      </c>
      <c r="O32" s="13">
        <f>SUMIF(Mercado_Receita!$S$2:$S$345,"44621B2BrancaRuralCooperativa de eletrificação ruralNão se aplicaNão se aplicaIntermediário",Mercado_Receita!$L$2:$L$345)</f>
        <v>0</v>
      </c>
      <c r="P32" s="13">
        <f>SUMIF(Mercado_Receita!$S$2:$S$345,"44652B2BrancaRuralCooperativa de eletrificação ruralNão se aplicaNão se aplicaIntermediário",Mercado_Receita!$L$2:$L$345)</f>
        <v>0</v>
      </c>
      <c r="Q32" s="13">
        <f>SUMIF(Mercado_Receita!$S$2:$S$345,"44682B2BrancaRuralCooperativa de eletrificação ruralNão se aplicaNão se aplicaIntermediário",Mercado_Receita!$L$2:$L$345)</f>
        <v>0</v>
      </c>
      <c r="R32" s="13">
        <f>SUMIF(Mercado_Receita!$S$2:$S$345,"44713B2BrancaRuralCooperativa de eletrificação ruralNão se aplicaNão se aplicaIntermediário",Mercado_Receita!$L$2:$L$345)</f>
        <v>0</v>
      </c>
      <c r="S32" s="13">
        <f>SUMIF(Mercado_Receita!$S$2:$S$345,"44743B2BrancaRuralCooperativa de eletrificação ruralNão se aplicaNão se aplicaIntermediário",Mercado_Receita!$L$2:$L$345)</f>
        <v>0</v>
      </c>
      <c r="T32" s="13">
        <f>SUMIF(Mercado_Receita!$S$2:$S$345,"44774B2BrancaRuralCooperativa de eletrificação ruralNão se aplicaNão se aplicaIntermediário",Mercado_Receita!$L$2:$L$345)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5"/>
      <c r="B33" s="75"/>
      <c r="C33" s="75"/>
      <c r="D33" s="75"/>
      <c r="E33" s="75"/>
      <c r="F33" s="75"/>
      <c r="G33" s="13" t="s">
        <v>72</v>
      </c>
      <c r="H33" s="13" t="s">
        <v>70</v>
      </c>
      <c r="I33" s="13">
        <f>SUMIF(Mercado_Receita!$S$2:$S$345,"44440B2BrancaRuralCooperativa de eletrificação ruralNão se aplicaNão se aplicaFora ponta",Mercado_Receita!$L$2:$L$345)</f>
        <v>0</v>
      </c>
      <c r="J33" s="13">
        <f>SUMIF(Mercado_Receita!$S$2:$S$345,"44470B2BrancaRuralCooperativa de eletrificação ruralNão se aplicaNão se aplicaFora ponta",Mercado_Receita!$L$2:$L$345)</f>
        <v>0</v>
      </c>
      <c r="K33" s="13">
        <f>SUMIF(Mercado_Receita!$S$2:$S$345,"44501B2BrancaRuralCooperativa de eletrificação ruralNão se aplicaNão se aplicaFora ponta",Mercado_Receita!$L$2:$L$345)</f>
        <v>0</v>
      </c>
      <c r="L33" s="13">
        <f>SUMIF(Mercado_Receita!$S$2:$S$345,"44531B2BrancaRuralCooperativa de eletrificação ruralNão se aplicaNão se aplicaFora ponta",Mercado_Receita!$L$2:$L$345)</f>
        <v>0</v>
      </c>
      <c r="M33" s="13">
        <f>SUMIF(Mercado_Receita!$S$2:$S$345,"44562B2BrancaRuralCooperativa de eletrificação ruralNão se aplicaNão se aplicaFora ponta",Mercado_Receita!$L$2:$L$345)</f>
        <v>0</v>
      </c>
      <c r="N33" s="13">
        <f>SUMIF(Mercado_Receita!$S$2:$S$345,"44593B2BrancaRuralCooperativa de eletrificação ruralNão se aplicaNão se aplicaFora ponta",Mercado_Receita!$L$2:$L$345)</f>
        <v>0</v>
      </c>
      <c r="O33" s="13">
        <f>SUMIF(Mercado_Receita!$S$2:$S$345,"44621B2BrancaRuralCooperativa de eletrificação ruralNão se aplicaNão se aplicaFora ponta",Mercado_Receita!$L$2:$L$345)</f>
        <v>0</v>
      </c>
      <c r="P33" s="13">
        <f>SUMIF(Mercado_Receita!$S$2:$S$345,"44652B2BrancaRuralCooperativa de eletrificação ruralNão se aplicaNão se aplicaFora ponta",Mercado_Receita!$L$2:$L$345)</f>
        <v>0</v>
      </c>
      <c r="Q33" s="13">
        <f>SUMIF(Mercado_Receita!$S$2:$S$345,"44682B2BrancaRuralCooperativa de eletrificação ruralNão se aplicaNão se aplicaFora ponta",Mercado_Receita!$L$2:$L$345)</f>
        <v>0</v>
      </c>
      <c r="R33" s="13">
        <f>SUMIF(Mercado_Receita!$S$2:$S$345,"44713B2BrancaRuralCooperativa de eletrificação ruralNão se aplicaNão se aplicaFora ponta",Mercado_Receita!$L$2:$L$345)</f>
        <v>0</v>
      </c>
      <c r="S33" s="13">
        <f>SUMIF(Mercado_Receita!$S$2:$S$345,"44743B2BrancaRuralCooperativa de eletrificação ruralNão se aplicaNão se aplicaFora ponta",Mercado_Receita!$L$2:$L$345)</f>
        <v>0</v>
      </c>
      <c r="T33" s="13">
        <f>SUMIF(Mercado_Receita!$S$2:$S$345,"44774B2BrancaRuralCooperativa de eletrificação ruralNão se aplicaNão se aplicaFora ponta",Mercado_Receita!$L$2:$L$345)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5"/>
      <c r="B34" s="12" t="s">
        <v>23</v>
      </c>
      <c r="C34" s="12" t="s">
        <v>41</v>
      </c>
      <c r="D34" s="12" t="s">
        <v>88</v>
      </c>
      <c r="E34" s="12" t="s">
        <v>25</v>
      </c>
      <c r="F34" s="12" t="s">
        <v>25</v>
      </c>
      <c r="G34" s="13" t="s">
        <v>77</v>
      </c>
      <c r="H34" s="13" t="s">
        <v>70</v>
      </c>
      <c r="I34" s="13">
        <f>SUMIF(Mercado_Receita!$S$2:$S$345,"44440B2ConvencionalRuralCooperativa de eletrificação ruralNão se aplicaNão se aplicaPonta",Mercado_Receita!$L$2:$L$345)+SUMIF(Mercado_Receita!$S$2:$S$345,"44440B2ConvencionalRuralCooperativa de eletrificação ruralNão se aplicaNão se aplicaFora ponta",Mercado_Receita!$L$2:$L$345)+SUMIF(Mercado_Receita!$S$2:$S$345,"44440B2ConvencionalRuralCooperativa de eletrificação ruralNão se aplicaNão se aplicaIntermediário",Mercado_Receita!$L$2:$L$345)+SUMIF(Mercado_Receita!$S$2:$S$345,"44440B2ConvencionalRuralCooperativa de eletrificação ruralNão se aplicaNão se aplicaNão se aplica",Mercado_Receita!$L$2:$L$345)</f>
        <v>0</v>
      </c>
      <c r="J34" s="13">
        <f>SUMIF(Mercado_Receita!$S$2:$S$345,"44470B2ConvencionalRuralCooperativa de eletrificação ruralNão se aplicaNão se aplicaPonta",Mercado_Receita!$L$2:$L$345)+SUMIF(Mercado_Receita!$S$2:$S$345,"44470B2ConvencionalRuralCooperativa de eletrificação ruralNão se aplicaNão se aplicaFora ponta",Mercado_Receita!$L$2:$L$345)+SUMIF(Mercado_Receita!$S$2:$S$345,"44470B2ConvencionalRuralCooperativa de eletrificação ruralNão se aplicaNão se aplicaIntermediário",Mercado_Receita!$L$2:$L$345)+SUMIF(Mercado_Receita!$S$2:$S$345,"44470B2ConvencionalRuralCooperativa de eletrificação ruralNão se aplicaNão se aplicaNão se aplica",Mercado_Receita!$L$2:$L$345)</f>
        <v>0</v>
      </c>
      <c r="K34" s="13">
        <f>SUMIF(Mercado_Receita!$S$2:$S$345,"44501B2ConvencionalRuralCooperativa de eletrificação ruralNão se aplicaNão se aplicaPonta",Mercado_Receita!$L$2:$L$345)+SUMIF(Mercado_Receita!$S$2:$S$345,"44501B2ConvencionalRuralCooperativa de eletrificação ruralNão se aplicaNão se aplicaFora ponta",Mercado_Receita!$L$2:$L$345)+SUMIF(Mercado_Receita!$S$2:$S$345,"44501B2ConvencionalRuralCooperativa de eletrificação ruralNão se aplicaNão se aplicaIntermediário",Mercado_Receita!$L$2:$L$345)+SUMIF(Mercado_Receita!$S$2:$S$345,"44501B2ConvencionalRuralCooperativa de eletrificação ruralNão se aplicaNão se aplicaNão se aplica",Mercado_Receita!$L$2:$L$345)</f>
        <v>0</v>
      </c>
      <c r="L34" s="13">
        <f>SUMIF(Mercado_Receita!$S$2:$S$345,"44531B2ConvencionalRuralCooperativa de eletrificação ruralNão se aplicaNão se aplicaPonta",Mercado_Receita!$L$2:$L$345)+SUMIF(Mercado_Receita!$S$2:$S$345,"44531B2ConvencionalRuralCooperativa de eletrificação ruralNão se aplicaNão se aplicaFora ponta",Mercado_Receita!$L$2:$L$345)+SUMIF(Mercado_Receita!$S$2:$S$345,"44531B2ConvencionalRuralCooperativa de eletrificação ruralNão se aplicaNão se aplicaIntermediário",Mercado_Receita!$L$2:$L$345)+SUMIF(Mercado_Receita!$S$2:$S$345,"44531B2ConvencionalRuralCooperativa de eletrificação ruralNão se aplicaNão se aplicaNão se aplica",Mercado_Receita!$L$2:$L$345)</f>
        <v>0</v>
      </c>
      <c r="M34" s="13">
        <f>SUMIF(Mercado_Receita!$S$2:$S$345,"44562B2ConvencionalRuralCooperativa de eletrificação ruralNão se aplicaNão se aplicaPonta",Mercado_Receita!$L$2:$L$345)+SUMIF(Mercado_Receita!$S$2:$S$345,"44562B2ConvencionalRuralCooperativa de eletrificação ruralNão se aplicaNão se aplicaFora ponta",Mercado_Receita!$L$2:$L$345)+SUMIF(Mercado_Receita!$S$2:$S$345,"44562B2ConvencionalRuralCooperativa de eletrificação ruralNão se aplicaNão se aplicaIntermediário",Mercado_Receita!$L$2:$L$345)+SUMIF(Mercado_Receita!$S$2:$S$345,"44562B2ConvencionalRuralCooperativa de eletrificação ruralNão se aplicaNão se aplicaNão se aplica",Mercado_Receita!$L$2:$L$345)</f>
        <v>0</v>
      </c>
      <c r="N34" s="13">
        <f>SUMIF(Mercado_Receita!$S$2:$S$345,"44593B2ConvencionalRuralCooperativa de eletrificação ruralNão se aplicaNão se aplicaPonta",Mercado_Receita!$L$2:$L$345)+SUMIF(Mercado_Receita!$S$2:$S$345,"44593B2ConvencionalRuralCooperativa de eletrificação ruralNão se aplicaNão se aplicaFora ponta",Mercado_Receita!$L$2:$L$345)+SUMIF(Mercado_Receita!$S$2:$S$345,"44593B2ConvencionalRuralCooperativa de eletrificação ruralNão se aplicaNão se aplicaIntermediário",Mercado_Receita!$L$2:$L$345)+SUMIF(Mercado_Receita!$S$2:$S$345,"44593B2ConvencionalRuralCooperativa de eletrificação ruralNão se aplicaNão se aplicaNão se aplica",Mercado_Receita!$L$2:$L$345)</f>
        <v>0</v>
      </c>
      <c r="O34" s="13">
        <f>SUMIF(Mercado_Receita!$S$2:$S$345,"44621B2ConvencionalRuralCooperativa de eletrificação ruralNão se aplicaNão se aplicaPonta",Mercado_Receita!$L$2:$L$345)+SUMIF(Mercado_Receita!$S$2:$S$345,"44621B2ConvencionalRuralCooperativa de eletrificação ruralNão se aplicaNão se aplicaFora ponta",Mercado_Receita!$L$2:$L$345)+SUMIF(Mercado_Receita!$S$2:$S$345,"44621B2ConvencionalRuralCooperativa de eletrificação ruralNão se aplicaNão se aplicaIntermediário",Mercado_Receita!$L$2:$L$345)+SUMIF(Mercado_Receita!$S$2:$S$345,"44621B2ConvencionalRuralCooperativa de eletrificação ruralNão se aplicaNão se aplicaNão se aplica",Mercado_Receita!$L$2:$L$345)</f>
        <v>0</v>
      </c>
      <c r="P34" s="13">
        <f>SUMIF(Mercado_Receita!$S$2:$S$345,"44652B2ConvencionalRuralCooperativa de eletrificação ruralNão se aplicaNão se aplicaPonta",Mercado_Receita!$L$2:$L$345)+SUMIF(Mercado_Receita!$S$2:$S$345,"44652B2ConvencionalRuralCooperativa de eletrificação ruralNão se aplicaNão se aplicaFora ponta",Mercado_Receita!$L$2:$L$345)+SUMIF(Mercado_Receita!$S$2:$S$345,"44652B2ConvencionalRuralCooperativa de eletrificação ruralNão se aplicaNão se aplicaIntermediário",Mercado_Receita!$L$2:$L$345)+SUMIF(Mercado_Receita!$S$2:$S$345,"44652B2ConvencionalRuralCooperativa de eletrificação ruralNão se aplicaNão se aplicaNão se aplica",Mercado_Receita!$L$2:$L$345)</f>
        <v>0</v>
      </c>
      <c r="Q34" s="13">
        <f>SUMIF(Mercado_Receita!$S$2:$S$345,"44682B2ConvencionalRuralCooperativa de eletrificação ruralNão se aplicaNão se aplicaPonta",Mercado_Receita!$L$2:$L$345)+SUMIF(Mercado_Receita!$S$2:$S$345,"44682B2ConvencionalRuralCooperativa de eletrificação ruralNão se aplicaNão se aplicaFora ponta",Mercado_Receita!$L$2:$L$345)+SUMIF(Mercado_Receita!$S$2:$S$345,"44682B2ConvencionalRuralCooperativa de eletrificação ruralNão se aplicaNão se aplicaIntermediário",Mercado_Receita!$L$2:$L$345)+SUMIF(Mercado_Receita!$S$2:$S$345,"44682B2ConvencionalRuralCooperativa de eletrificação ruralNão se aplicaNão se aplicaNão se aplica",Mercado_Receita!$L$2:$L$345)</f>
        <v>0</v>
      </c>
      <c r="R34" s="13">
        <f>SUMIF(Mercado_Receita!$S$2:$S$345,"44713B2ConvencionalRuralCooperativa de eletrificação ruralNão se aplicaNão se aplicaPonta",Mercado_Receita!$L$2:$L$345)+SUMIF(Mercado_Receita!$S$2:$S$345,"44713B2ConvencionalRuralCooperativa de eletrificação ruralNão se aplicaNão se aplicaFora ponta",Mercado_Receita!$L$2:$L$345)+SUMIF(Mercado_Receita!$S$2:$S$345,"44713B2ConvencionalRuralCooperativa de eletrificação ruralNão se aplicaNão se aplicaIntermediário",Mercado_Receita!$L$2:$L$345)+SUMIF(Mercado_Receita!$S$2:$S$345,"44713B2ConvencionalRuralCooperativa de eletrificação ruralNão se aplicaNão se aplicaNão se aplica",Mercado_Receita!$L$2:$L$345)</f>
        <v>0</v>
      </c>
      <c r="S34" s="13">
        <f>SUMIF(Mercado_Receita!$S$2:$S$345,"44743B2ConvencionalRuralCooperativa de eletrificação ruralNão se aplicaNão se aplicaPonta",Mercado_Receita!$L$2:$L$345)+SUMIF(Mercado_Receita!$S$2:$S$345,"44743B2ConvencionalRuralCooperativa de eletrificação ruralNão se aplicaNão se aplicaFora ponta",Mercado_Receita!$L$2:$L$345)+SUMIF(Mercado_Receita!$S$2:$S$345,"44743B2ConvencionalRuralCooperativa de eletrificação ruralNão se aplicaNão se aplicaIntermediário",Mercado_Receita!$L$2:$L$345)+SUMIF(Mercado_Receita!$S$2:$S$345,"44743B2ConvencionalRuralCooperativa de eletrificação ruralNão se aplicaNão se aplicaNão se aplica",Mercado_Receita!$L$2:$L$345)</f>
        <v>0</v>
      </c>
      <c r="T34" s="13">
        <f>SUMIF(Mercado_Receita!$S$2:$S$345,"44774B2ConvencionalRuralCooperativa de eletrificação ruralNão se aplicaNão se aplicaPonta",Mercado_Receita!$L$2:$L$345)+SUMIF(Mercado_Receita!$S$2:$S$345,"44774B2ConvencionalRuralCooperativa de eletrificação ruralNão se aplicaNão se aplicaFora ponta",Mercado_Receita!$L$2:$L$345)+SUMIF(Mercado_Receita!$S$2:$S$345,"44774B2ConvencionalRuralCooperativa de eletrificação ruralNão se aplicaNão se aplicaIntermediário",Mercado_Receita!$L$2:$L$345)+SUMIF(Mercado_Receita!$S$2:$S$345,"44774B2ConvencionalRuralCooperativa de eletrificação ruralNão se aplicaNão se aplicaNão se aplica",Mercado_Receita!$L$2:$L$345)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5"/>
      <c r="B35" s="74" t="s">
        <v>85</v>
      </c>
      <c r="C35" s="74" t="s">
        <v>41</v>
      </c>
      <c r="D35" s="74" t="s">
        <v>89</v>
      </c>
      <c r="E35" s="74" t="s">
        <v>25</v>
      </c>
      <c r="F35" s="74" t="s">
        <v>25</v>
      </c>
      <c r="G35" s="13" t="s">
        <v>71</v>
      </c>
      <c r="H35" s="13" t="s">
        <v>70</v>
      </c>
      <c r="I35" s="13">
        <f>SUMIF(Mercado_Receita!$S$2:$S$345,"44440B2BrancaRuralServiço público de irrigação ruralNão se aplicaNão se aplicaPonta",Mercado_Receita!$L$2:$L$345)</f>
        <v>0</v>
      </c>
      <c r="J35" s="13">
        <f>SUMIF(Mercado_Receita!$S$2:$S$345,"44470B2BrancaRuralServiço público de irrigação ruralNão se aplicaNão se aplicaPonta",Mercado_Receita!$L$2:$L$345)</f>
        <v>0</v>
      </c>
      <c r="K35" s="13">
        <f>SUMIF(Mercado_Receita!$S$2:$S$345,"44501B2BrancaRuralServiço público de irrigação ruralNão se aplicaNão se aplicaPonta",Mercado_Receita!$L$2:$L$345)</f>
        <v>0</v>
      </c>
      <c r="L35" s="13">
        <f>SUMIF(Mercado_Receita!$S$2:$S$345,"44531B2BrancaRuralServiço público de irrigação ruralNão se aplicaNão se aplicaPonta",Mercado_Receita!$L$2:$L$345)</f>
        <v>0</v>
      </c>
      <c r="M35" s="13">
        <f>SUMIF(Mercado_Receita!$S$2:$S$345,"44562B2BrancaRuralServiço público de irrigação ruralNão se aplicaNão se aplicaPonta",Mercado_Receita!$L$2:$L$345)</f>
        <v>0</v>
      </c>
      <c r="N35" s="13">
        <f>SUMIF(Mercado_Receita!$S$2:$S$345,"44593B2BrancaRuralServiço público de irrigação ruralNão se aplicaNão se aplicaPonta",Mercado_Receita!$L$2:$L$345)</f>
        <v>0</v>
      </c>
      <c r="O35" s="13">
        <f>SUMIF(Mercado_Receita!$S$2:$S$345,"44621B2BrancaRuralServiço público de irrigação ruralNão se aplicaNão se aplicaPonta",Mercado_Receita!$L$2:$L$345)</f>
        <v>0</v>
      </c>
      <c r="P35" s="13">
        <f>SUMIF(Mercado_Receita!$S$2:$S$345,"44652B2BrancaRuralServiço público de irrigação ruralNão se aplicaNão se aplicaPonta",Mercado_Receita!$L$2:$L$345)</f>
        <v>0</v>
      </c>
      <c r="Q35" s="13">
        <f>SUMIF(Mercado_Receita!$S$2:$S$345,"44682B2BrancaRuralServiço público de irrigação ruralNão se aplicaNão se aplicaPonta",Mercado_Receita!$L$2:$L$345)</f>
        <v>0</v>
      </c>
      <c r="R35" s="13">
        <f>SUMIF(Mercado_Receita!$S$2:$S$345,"44713B2BrancaRuralServiço público de irrigação ruralNão se aplicaNão se aplicaPonta",Mercado_Receita!$L$2:$L$345)</f>
        <v>0</v>
      </c>
      <c r="S35" s="13">
        <f>SUMIF(Mercado_Receita!$S$2:$S$345,"44743B2BrancaRuralServiço público de irrigação ruralNão se aplicaNão se aplicaPonta",Mercado_Receita!$L$2:$L$345)</f>
        <v>0</v>
      </c>
      <c r="T35" s="13">
        <f>SUMIF(Mercado_Receita!$S$2:$S$345,"44774B2BrancaRuralServiço público de irrigação ruralNão se aplicaNão se aplicaPonta",Mercado_Receita!$L$2:$L$345)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75"/>
      <c r="B36" s="75"/>
      <c r="C36" s="75"/>
      <c r="D36" s="75"/>
      <c r="E36" s="75"/>
      <c r="F36" s="75"/>
      <c r="G36" s="13" t="s">
        <v>83</v>
      </c>
      <c r="H36" s="13" t="s">
        <v>70</v>
      </c>
      <c r="I36" s="13">
        <f>SUMIF(Mercado_Receita!$S$2:$S$345,"44440B2BrancaRuralServiço público de irrigação ruralNão se aplicaNão se aplicaIntermediário",Mercado_Receita!$L$2:$L$345)</f>
        <v>0</v>
      </c>
      <c r="J36" s="13">
        <f>SUMIF(Mercado_Receita!$S$2:$S$345,"44470B2BrancaRuralServiço público de irrigação ruralNão se aplicaNão se aplicaIntermediário",Mercado_Receita!$L$2:$L$345)</f>
        <v>0</v>
      </c>
      <c r="K36" s="13">
        <f>SUMIF(Mercado_Receita!$S$2:$S$345,"44501B2BrancaRuralServiço público de irrigação ruralNão se aplicaNão se aplicaIntermediário",Mercado_Receita!$L$2:$L$345)</f>
        <v>0</v>
      </c>
      <c r="L36" s="13">
        <f>SUMIF(Mercado_Receita!$S$2:$S$345,"44531B2BrancaRuralServiço público de irrigação ruralNão se aplicaNão se aplicaIntermediário",Mercado_Receita!$L$2:$L$345)</f>
        <v>0</v>
      </c>
      <c r="M36" s="13">
        <f>SUMIF(Mercado_Receita!$S$2:$S$345,"44562B2BrancaRuralServiço público de irrigação ruralNão se aplicaNão se aplicaIntermediário",Mercado_Receita!$L$2:$L$345)</f>
        <v>0</v>
      </c>
      <c r="N36" s="13">
        <f>SUMIF(Mercado_Receita!$S$2:$S$345,"44593B2BrancaRuralServiço público de irrigação ruralNão se aplicaNão se aplicaIntermediário",Mercado_Receita!$L$2:$L$345)</f>
        <v>0</v>
      </c>
      <c r="O36" s="13">
        <f>SUMIF(Mercado_Receita!$S$2:$S$345,"44621B2BrancaRuralServiço público de irrigação ruralNão se aplicaNão se aplicaIntermediário",Mercado_Receita!$L$2:$L$345)</f>
        <v>0</v>
      </c>
      <c r="P36" s="13">
        <f>SUMIF(Mercado_Receita!$S$2:$S$345,"44652B2BrancaRuralServiço público de irrigação ruralNão se aplicaNão se aplicaIntermediário",Mercado_Receita!$L$2:$L$345)</f>
        <v>0</v>
      </c>
      <c r="Q36" s="13">
        <f>SUMIF(Mercado_Receita!$S$2:$S$345,"44682B2BrancaRuralServiço público de irrigação ruralNão se aplicaNão se aplicaIntermediário",Mercado_Receita!$L$2:$L$345)</f>
        <v>0</v>
      </c>
      <c r="R36" s="13">
        <f>SUMIF(Mercado_Receita!$S$2:$S$345,"44713B2BrancaRuralServiço público de irrigação ruralNão se aplicaNão se aplicaIntermediário",Mercado_Receita!$L$2:$L$345)</f>
        <v>0</v>
      </c>
      <c r="S36" s="13">
        <f>SUMIF(Mercado_Receita!$S$2:$S$345,"44743B2BrancaRuralServiço público de irrigação ruralNão se aplicaNão se aplicaIntermediário",Mercado_Receita!$L$2:$L$345)</f>
        <v>0</v>
      </c>
      <c r="T36" s="13">
        <f>SUMIF(Mercado_Receita!$S$2:$S$345,"44774B2BrancaRuralServiço público de irrigação ruralNão se aplicaNão se aplicaIntermediário",Mercado_Receita!$L$2:$L$345)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5"/>
      <c r="B37" s="75"/>
      <c r="C37" s="75"/>
      <c r="D37" s="75"/>
      <c r="E37" s="75"/>
      <c r="F37" s="75"/>
      <c r="G37" s="13" t="s">
        <v>72</v>
      </c>
      <c r="H37" s="13" t="s">
        <v>70</v>
      </c>
      <c r="I37" s="13">
        <f>SUMIF(Mercado_Receita!$S$2:$S$345,"44440B2BrancaRuralServiço público de irrigação ruralNão se aplicaNão se aplicaFora ponta",Mercado_Receita!$L$2:$L$345)</f>
        <v>0</v>
      </c>
      <c r="J37" s="13">
        <f>SUMIF(Mercado_Receita!$S$2:$S$345,"44470B2BrancaRuralServiço público de irrigação ruralNão se aplicaNão se aplicaFora ponta",Mercado_Receita!$L$2:$L$345)</f>
        <v>0</v>
      </c>
      <c r="K37" s="13">
        <f>SUMIF(Mercado_Receita!$S$2:$S$345,"44501B2BrancaRuralServiço público de irrigação ruralNão se aplicaNão se aplicaFora ponta",Mercado_Receita!$L$2:$L$345)</f>
        <v>0</v>
      </c>
      <c r="L37" s="13">
        <f>SUMIF(Mercado_Receita!$S$2:$S$345,"44531B2BrancaRuralServiço público de irrigação ruralNão se aplicaNão se aplicaFora ponta",Mercado_Receita!$L$2:$L$345)</f>
        <v>0</v>
      </c>
      <c r="M37" s="13">
        <f>SUMIF(Mercado_Receita!$S$2:$S$345,"44562B2BrancaRuralServiço público de irrigação ruralNão se aplicaNão se aplicaFora ponta",Mercado_Receita!$L$2:$L$345)</f>
        <v>0</v>
      </c>
      <c r="N37" s="13">
        <f>SUMIF(Mercado_Receita!$S$2:$S$345,"44593B2BrancaRuralServiço público de irrigação ruralNão se aplicaNão se aplicaFora ponta",Mercado_Receita!$L$2:$L$345)</f>
        <v>0</v>
      </c>
      <c r="O37" s="13">
        <f>SUMIF(Mercado_Receita!$S$2:$S$345,"44621B2BrancaRuralServiço público de irrigação ruralNão se aplicaNão se aplicaFora ponta",Mercado_Receita!$L$2:$L$345)</f>
        <v>0</v>
      </c>
      <c r="P37" s="13">
        <f>SUMIF(Mercado_Receita!$S$2:$S$345,"44652B2BrancaRuralServiço público de irrigação ruralNão se aplicaNão se aplicaFora ponta",Mercado_Receita!$L$2:$L$345)</f>
        <v>0</v>
      </c>
      <c r="Q37" s="13">
        <f>SUMIF(Mercado_Receita!$S$2:$S$345,"44682B2BrancaRuralServiço público de irrigação ruralNão se aplicaNão se aplicaFora ponta",Mercado_Receita!$L$2:$L$345)</f>
        <v>0</v>
      </c>
      <c r="R37" s="13">
        <f>SUMIF(Mercado_Receita!$S$2:$S$345,"44713B2BrancaRuralServiço público de irrigação ruralNão se aplicaNão se aplicaFora ponta",Mercado_Receita!$L$2:$L$345)</f>
        <v>0</v>
      </c>
      <c r="S37" s="13">
        <f>SUMIF(Mercado_Receita!$S$2:$S$345,"44743B2BrancaRuralServiço público de irrigação ruralNão se aplicaNão se aplicaFora ponta",Mercado_Receita!$L$2:$L$345)</f>
        <v>0</v>
      </c>
      <c r="T37" s="13">
        <f>SUMIF(Mercado_Receita!$S$2:$S$345,"44774B2BrancaRuralServiço público de irrigação ruralNão se aplicaNão se aplicaFora ponta",Mercado_Receita!$L$2:$L$345)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75"/>
      <c r="B38" s="12" t="s">
        <v>23</v>
      </c>
      <c r="C38" s="12" t="s">
        <v>41</v>
      </c>
      <c r="D38" s="12" t="s">
        <v>89</v>
      </c>
      <c r="E38" s="12" t="s">
        <v>25</v>
      </c>
      <c r="F38" s="12" t="s">
        <v>25</v>
      </c>
      <c r="G38" s="13" t="s">
        <v>77</v>
      </c>
      <c r="H38" s="13" t="s">
        <v>70</v>
      </c>
      <c r="I38" s="13">
        <f>SUMIF(Mercado_Receita!$S$2:$S$345,"44440B2ConvencionalRuralServiço público de irrigação ruralNão se aplicaNão se aplicaPonta",Mercado_Receita!$L$2:$L$345)+SUMIF(Mercado_Receita!$S$2:$S$345,"44440B2ConvencionalRuralServiço público de irrigação ruralNão se aplicaNão se aplicaFora ponta",Mercado_Receita!$L$2:$L$345)+SUMIF(Mercado_Receita!$S$2:$S$345,"44440B2ConvencionalRuralServiço público de irrigação ruralNão se aplicaNão se aplicaIntermediário",Mercado_Receita!$L$2:$L$345)+SUMIF(Mercado_Receita!$S$2:$S$345,"44440B2ConvencionalRuralServiço público de irrigação ruralNão se aplicaNão se aplicaNão se aplica",Mercado_Receita!$L$2:$L$345)</f>
        <v>0</v>
      </c>
      <c r="J38" s="13">
        <f>SUMIF(Mercado_Receita!$S$2:$S$345,"44470B2ConvencionalRuralServiço público de irrigação ruralNão se aplicaNão se aplicaPonta",Mercado_Receita!$L$2:$L$345)+SUMIF(Mercado_Receita!$S$2:$S$345,"44470B2ConvencionalRuralServiço público de irrigação ruralNão se aplicaNão se aplicaFora ponta",Mercado_Receita!$L$2:$L$345)+SUMIF(Mercado_Receita!$S$2:$S$345,"44470B2ConvencionalRuralServiço público de irrigação ruralNão se aplicaNão se aplicaIntermediário",Mercado_Receita!$L$2:$L$345)+SUMIF(Mercado_Receita!$S$2:$S$345,"44470B2ConvencionalRuralServiço público de irrigação ruralNão se aplicaNão se aplicaNão se aplica",Mercado_Receita!$L$2:$L$345)</f>
        <v>0</v>
      </c>
      <c r="K38" s="13">
        <f>SUMIF(Mercado_Receita!$S$2:$S$345,"44501B2ConvencionalRuralServiço público de irrigação ruralNão se aplicaNão se aplicaPonta",Mercado_Receita!$L$2:$L$345)+SUMIF(Mercado_Receita!$S$2:$S$345,"44501B2ConvencionalRuralServiço público de irrigação ruralNão se aplicaNão se aplicaFora ponta",Mercado_Receita!$L$2:$L$345)+SUMIF(Mercado_Receita!$S$2:$S$345,"44501B2ConvencionalRuralServiço público de irrigação ruralNão se aplicaNão se aplicaIntermediário",Mercado_Receita!$L$2:$L$345)+SUMIF(Mercado_Receita!$S$2:$S$345,"44501B2ConvencionalRuralServiço público de irrigação ruralNão se aplicaNão se aplicaNão se aplica",Mercado_Receita!$L$2:$L$345)</f>
        <v>0</v>
      </c>
      <c r="L38" s="13">
        <f>SUMIF(Mercado_Receita!$S$2:$S$345,"44531B2ConvencionalRuralServiço público de irrigação ruralNão se aplicaNão se aplicaPonta",Mercado_Receita!$L$2:$L$345)+SUMIF(Mercado_Receita!$S$2:$S$345,"44531B2ConvencionalRuralServiço público de irrigação ruralNão se aplicaNão se aplicaFora ponta",Mercado_Receita!$L$2:$L$345)+SUMIF(Mercado_Receita!$S$2:$S$345,"44531B2ConvencionalRuralServiço público de irrigação ruralNão se aplicaNão se aplicaIntermediário",Mercado_Receita!$L$2:$L$345)+SUMIF(Mercado_Receita!$S$2:$S$345,"44531B2ConvencionalRuralServiço público de irrigação ruralNão se aplicaNão se aplicaNão se aplica",Mercado_Receita!$L$2:$L$345)</f>
        <v>0</v>
      </c>
      <c r="M38" s="13">
        <f>SUMIF(Mercado_Receita!$S$2:$S$345,"44562B2ConvencionalRuralServiço público de irrigação ruralNão se aplicaNão se aplicaPonta",Mercado_Receita!$L$2:$L$345)+SUMIF(Mercado_Receita!$S$2:$S$345,"44562B2ConvencionalRuralServiço público de irrigação ruralNão se aplicaNão se aplicaFora ponta",Mercado_Receita!$L$2:$L$345)+SUMIF(Mercado_Receita!$S$2:$S$345,"44562B2ConvencionalRuralServiço público de irrigação ruralNão se aplicaNão se aplicaIntermediário",Mercado_Receita!$L$2:$L$345)+SUMIF(Mercado_Receita!$S$2:$S$345,"44562B2ConvencionalRuralServiço público de irrigação ruralNão se aplicaNão se aplicaNão se aplica",Mercado_Receita!$L$2:$L$345)</f>
        <v>0</v>
      </c>
      <c r="N38" s="13">
        <f>SUMIF(Mercado_Receita!$S$2:$S$345,"44593B2ConvencionalRuralServiço público de irrigação ruralNão se aplicaNão se aplicaPonta",Mercado_Receita!$L$2:$L$345)+SUMIF(Mercado_Receita!$S$2:$S$345,"44593B2ConvencionalRuralServiço público de irrigação ruralNão se aplicaNão se aplicaFora ponta",Mercado_Receita!$L$2:$L$345)+SUMIF(Mercado_Receita!$S$2:$S$345,"44593B2ConvencionalRuralServiço público de irrigação ruralNão se aplicaNão se aplicaIntermediário",Mercado_Receita!$L$2:$L$345)+SUMIF(Mercado_Receita!$S$2:$S$345,"44593B2ConvencionalRuralServiço público de irrigação ruralNão se aplicaNão se aplicaNão se aplica",Mercado_Receita!$L$2:$L$345)</f>
        <v>0</v>
      </c>
      <c r="O38" s="13">
        <f>SUMIF(Mercado_Receita!$S$2:$S$345,"44621B2ConvencionalRuralServiço público de irrigação ruralNão se aplicaNão se aplicaPonta",Mercado_Receita!$L$2:$L$345)+SUMIF(Mercado_Receita!$S$2:$S$345,"44621B2ConvencionalRuralServiço público de irrigação ruralNão se aplicaNão se aplicaFora ponta",Mercado_Receita!$L$2:$L$345)+SUMIF(Mercado_Receita!$S$2:$S$345,"44621B2ConvencionalRuralServiço público de irrigação ruralNão se aplicaNão se aplicaIntermediário",Mercado_Receita!$L$2:$L$345)+SUMIF(Mercado_Receita!$S$2:$S$345,"44621B2ConvencionalRuralServiço público de irrigação ruralNão se aplicaNão se aplicaNão se aplica",Mercado_Receita!$L$2:$L$345)</f>
        <v>0</v>
      </c>
      <c r="P38" s="13">
        <f>SUMIF(Mercado_Receita!$S$2:$S$345,"44652B2ConvencionalRuralServiço público de irrigação ruralNão se aplicaNão se aplicaPonta",Mercado_Receita!$L$2:$L$345)+SUMIF(Mercado_Receita!$S$2:$S$345,"44652B2ConvencionalRuralServiço público de irrigação ruralNão se aplicaNão se aplicaFora ponta",Mercado_Receita!$L$2:$L$345)+SUMIF(Mercado_Receita!$S$2:$S$345,"44652B2ConvencionalRuralServiço público de irrigação ruralNão se aplicaNão se aplicaIntermediário",Mercado_Receita!$L$2:$L$345)+SUMIF(Mercado_Receita!$S$2:$S$345,"44652B2ConvencionalRuralServiço público de irrigação ruralNão se aplicaNão se aplicaNão se aplica",Mercado_Receita!$L$2:$L$345)</f>
        <v>0</v>
      </c>
      <c r="Q38" s="13">
        <f>SUMIF(Mercado_Receita!$S$2:$S$345,"44682B2ConvencionalRuralServiço público de irrigação ruralNão se aplicaNão se aplicaPonta",Mercado_Receita!$L$2:$L$345)+SUMIF(Mercado_Receita!$S$2:$S$345,"44682B2ConvencionalRuralServiço público de irrigação ruralNão se aplicaNão se aplicaFora ponta",Mercado_Receita!$L$2:$L$345)+SUMIF(Mercado_Receita!$S$2:$S$345,"44682B2ConvencionalRuralServiço público de irrigação ruralNão se aplicaNão se aplicaIntermediário",Mercado_Receita!$L$2:$L$345)+SUMIF(Mercado_Receita!$S$2:$S$345,"44682B2ConvencionalRuralServiço público de irrigação ruralNão se aplicaNão se aplicaNão se aplica",Mercado_Receita!$L$2:$L$345)</f>
        <v>0</v>
      </c>
      <c r="R38" s="13">
        <f>SUMIF(Mercado_Receita!$S$2:$S$345,"44713B2ConvencionalRuralServiço público de irrigação ruralNão se aplicaNão se aplicaPonta",Mercado_Receita!$L$2:$L$345)+SUMIF(Mercado_Receita!$S$2:$S$345,"44713B2ConvencionalRuralServiço público de irrigação ruralNão se aplicaNão se aplicaFora ponta",Mercado_Receita!$L$2:$L$345)+SUMIF(Mercado_Receita!$S$2:$S$345,"44713B2ConvencionalRuralServiço público de irrigação ruralNão se aplicaNão se aplicaIntermediário",Mercado_Receita!$L$2:$L$345)+SUMIF(Mercado_Receita!$S$2:$S$345,"44713B2ConvencionalRuralServiço público de irrigação ruralNão se aplicaNão se aplicaNão se aplica",Mercado_Receita!$L$2:$L$345)</f>
        <v>0</v>
      </c>
      <c r="S38" s="13">
        <f>SUMIF(Mercado_Receita!$S$2:$S$345,"44743B2ConvencionalRuralServiço público de irrigação ruralNão se aplicaNão se aplicaPonta",Mercado_Receita!$L$2:$L$345)+SUMIF(Mercado_Receita!$S$2:$S$345,"44743B2ConvencionalRuralServiço público de irrigação ruralNão se aplicaNão se aplicaFora ponta",Mercado_Receita!$L$2:$L$345)+SUMIF(Mercado_Receita!$S$2:$S$345,"44743B2ConvencionalRuralServiço público de irrigação ruralNão se aplicaNão se aplicaIntermediário",Mercado_Receita!$L$2:$L$345)+SUMIF(Mercado_Receita!$S$2:$S$345,"44743B2ConvencionalRuralServiço público de irrigação ruralNão se aplicaNão se aplicaNão se aplica",Mercado_Receita!$L$2:$L$345)</f>
        <v>0</v>
      </c>
      <c r="T38" s="13">
        <f>SUMIF(Mercado_Receita!$S$2:$S$345,"44774B2ConvencionalRuralServiço público de irrigação ruralNão se aplicaNão se aplicaPonta",Mercado_Receita!$L$2:$L$345)+SUMIF(Mercado_Receita!$S$2:$S$345,"44774B2ConvencionalRuralServiço público de irrigação ruralNão se aplicaNão se aplicaFora ponta",Mercado_Receita!$L$2:$L$345)+SUMIF(Mercado_Receita!$S$2:$S$345,"44774B2ConvencionalRuralServiço público de irrigação ruralNão se aplicaNão se aplicaIntermediário",Mercado_Receita!$L$2:$L$345)+SUMIF(Mercado_Receita!$S$2:$S$345,"44774B2ConvencionalRuralServiço público de irrigação ruralNão se aplicaNão se aplicaNão se aplica",Mercado_Receita!$L$2:$L$345)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75"/>
      <c r="B39" s="74" t="s">
        <v>87</v>
      </c>
      <c r="C39" s="74" t="s">
        <v>41</v>
      </c>
      <c r="D39" s="12" t="s">
        <v>25</v>
      </c>
      <c r="E39" s="12" t="s">
        <v>25</v>
      </c>
      <c r="F39" s="12" t="s">
        <v>25</v>
      </c>
      <c r="G39" s="13" t="s">
        <v>77</v>
      </c>
      <c r="H39" s="13" t="s">
        <v>70</v>
      </c>
      <c r="I39" s="13">
        <f>SUMIF(Mercado_Receita!$S$2:$S$345,"44440B2Convencional pré-pagamentoRuralNão se aplicaNão se aplicaNão se aplicaPonta",Mercado_Receita!$L$2:$L$345)+SUMIF(Mercado_Receita!$S$2:$S$345,"44440B2Convencional pré-pagamentoRuralNão se aplicaNão se aplicaNão se aplicaFora ponta",Mercado_Receita!$L$2:$L$345)+SUMIF(Mercado_Receita!$S$2:$S$345,"44440B2Convencional pré-pagamentoRuralNão se aplicaNão se aplicaNão se aplicaIntermediário",Mercado_Receita!$L$2:$L$345)+SUMIF(Mercado_Receita!$S$2:$S$345,"44440B2Convencional pré-pagamentoRuralNão se aplicaNão se aplicaNão se aplicaNão se aplica",Mercado_Receita!$L$2:$L$345)</f>
        <v>0</v>
      </c>
      <c r="J39" s="13">
        <f>SUMIF(Mercado_Receita!$S$2:$S$345,"44470B2Convencional pré-pagamentoRuralNão se aplicaNão se aplicaNão se aplicaPonta",Mercado_Receita!$L$2:$L$345)+SUMIF(Mercado_Receita!$S$2:$S$345,"44470B2Convencional pré-pagamentoRuralNão se aplicaNão se aplicaNão se aplicaFora ponta",Mercado_Receita!$L$2:$L$345)+SUMIF(Mercado_Receita!$S$2:$S$345,"44470B2Convencional pré-pagamentoRuralNão se aplicaNão se aplicaNão se aplicaIntermediário",Mercado_Receita!$L$2:$L$345)+SUMIF(Mercado_Receita!$S$2:$S$345,"44470B2Convencional pré-pagamentoRuralNão se aplicaNão se aplicaNão se aplicaNão se aplica",Mercado_Receita!$L$2:$L$345)</f>
        <v>0</v>
      </c>
      <c r="K39" s="13">
        <f>SUMIF(Mercado_Receita!$S$2:$S$345,"44501B2Convencional pré-pagamentoRuralNão se aplicaNão se aplicaNão se aplicaPonta",Mercado_Receita!$L$2:$L$345)+SUMIF(Mercado_Receita!$S$2:$S$345,"44501B2Convencional pré-pagamentoRuralNão se aplicaNão se aplicaNão se aplicaFora ponta",Mercado_Receita!$L$2:$L$345)+SUMIF(Mercado_Receita!$S$2:$S$345,"44501B2Convencional pré-pagamentoRuralNão se aplicaNão se aplicaNão se aplicaIntermediário",Mercado_Receita!$L$2:$L$345)+SUMIF(Mercado_Receita!$S$2:$S$345,"44501B2Convencional pré-pagamentoRuralNão se aplicaNão se aplicaNão se aplicaNão se aplica",Mercado_Receita!$L$2:$L$345)</f>
        <v>0</v>
      </c>
      <c r="L39" s="13">
        <f>SUMIF(Mercado_Receita!$S$2:$S$345,"44531B2Convencional pré-pagamentoRuralNão se aplicaNão se aplicaNão se aplicaPonta",Mercado_Receita!$L$2:$L$345)+SUMIF(Mercado_Receita!$S$2:$S$345,"44531B2Convencional pré-pagamentoRuralNão se aplicaNão se aplicaNão se aplicaFora ponta",Mercado_Receita!$L$2:$L$345)+SUMIF(Mercado_Receita!$S$2:$S$345,"44531B2Convencional pré-pagamentoRuralNão se aplicaNão se aplicaNão se aplicaIntermediário",Mercado_Receita!$L$2:$L$345)+SUMIF(Mercado_Receita!$S$2:$S$345,"44531B2Convencional pré-pagamentoRuralNão se aplicaNão se aplicaNão se aplicaNão se aplica",Mercado_Receita!$L$2:$L$345)</f>
        <v>0</v>
      </c>
      <c r="M39" s="13">
        <f>SUMIF(Mercado_Receita!$S$2:$S$345,"44562B2Convencional pré-pagamentoRuralNão se aplicaNão se aplicaNão se aplicaPonta",Mercado_Receita!$L$2:$L$345)+SUMIF(Mercado_Receita!$S$2:$S$345,"44562B2Convencional pré-pagamentoRuralNão se aplicaNão se aplicaNão se aplicaFora ponta",Mercado_Receita!$L$2:$L$345)+SUMIF(Mercado_Receita!$S$2:$S$345,"44562B2Convencional pré-pagamentoRuralNão se aplicaNão se aplicaNão se aplicaIntermediário",Mercado_Receita!$L$2:$L$345)+SUMIF(Mercado_Receita!$S$2:$S$345,"44562B2Convencional pré-pagamentoRuralNão se aplicaNão se aplicaNão se aplicaNão se aplica",Mercado_Receita!$L$2:$L$345)</f>
        <v>0</v>
      </c>
      <c r="N39" s="13">
        <f>SUMIF(Mercado_Receita!$S$2:$S$345,"44593B2Convencional pré-pagamentoRuralNão se aplicaNão se aplicaNão se aplicaPonta",Mercado_Receita!$L$2:$L$345)+SUMIF(Mercado_Receita!$S$2:$S$345,"44593B2Convencional pré-pagamentoRuralNão se aplicaNão se aplicaNão se aplicaFora ponta",Mercado_Receita!$L$2:$L$345)+SUMIF(Mercado_Receita!$S$2:$S$345,"44593B2Convencional pré-pagamentoRuralNão se aplicaNão se aplicaNão se aplicaIntermediário",Mercado_Receita!$L$2:$L$345)+SUMIF(Mercado_Receita!$S$2:$S$345,"44593B2Convencional pré-pagamentoRuralNão se aplicaNão se aplicaNão se aplicaNão se aplica",Mercado_Receita!$L$2:$L$345)</f>
        <v>0</v>
      </c>
      <c r="O39" s="13">
        <f>SUMIF(Mercado_Receita!$S$2:$S$345,"44621B2Convencional pré-pagamentoRuralNão se aplicaNão se aplicaNão se aplicaPonta",Mercado_Receita!$L$2:$L$345)+SUMIF(Mercado_Receita!$S$2:$S$345,"44621B2Convencional pré-pagamentoRuralNão se aplicaNão se aplicaNão se aplicaFora ponta",Mercado_Receita!$L$2:$L$345)+SUMIF(Mercado_Receita!$S$2:$S$345,"44621B2Convencional pré-pagamentoRuralNão se aplicaNão se aplicaNão se aplicaIntermediário",Mercado_Receita!$L$2:$L$345)+SUMIF(Mercado_Receita!$S$2:$S$345,"44621B2Convencional pré-pagamentoRuralNão se aplicaNão se aplicaNão se aplicaNão se aplica",Mercado_Receita!$L$2:$L$345)</f>
        <v>0</v>
      </c>
      <c r="P39" s="13">
        <f>SUMIF(Mercado_Receita!$S$2:$S$345,"44652B2Convencional pré-pagamentoRuralNão se aplicaNão se aplicaNão se aplicaPonta",Mercado_Receita!$L$2:$L$345)+SUMIF(Mercado_Receita!$S$2:$S$345,"44652B2Convencional pré-pagamentoRuralNão se aplicaNão se aplicaNão se aplicaFora ponta",Mercado_Receita!$L$2:$L$345)+SUMIF(Mercado_Receita!$S$2:$S$345,"44652B2Convencional pré-pagamentoRuralNão se aplicaNão se aplicaNão se aplicaIntermediário",Mercado_Receita!$L$2:$L$345)+SUMIF(Mercado_Receita!$S$2:$S$345,"44652B2Convencional pré-pagamentoRuralNão se aplicaNão se aplicaNão se aplicaNão se aplica",Mercado_Receita!$L$2:$L$345)</f>
        <v>0</v>
      </c>
      <c r="Q39" s="13">
        <f>SUMIF(Mercado_Receita!$S$2:$S$345,"44682B2Convencional pré-pagamentoRuralNão se aplicaNão se aplicaNão se aplicaPonta",Mercado_Receita!$L$2:$L$345)+SUMIF(Mercado_Receita!$S$2:$S$345,"44682B2Convencional pré-pagamentoRuralNão se aplicaNão se aplicaNão se aplicaFora ponta",Mercado_Receita!$L$2:$L$345)+SUMIF(Mercado_Receita!$S$2:$S$345,"44682B2Convencional pré-pagamentoRuralNão se aplicaNão se aplicaNão se aplicaIntermediário",Mercado_Receita!$L$2:$L$345)+SUMIF(Mercado_Receita!$S$2:$S$345,"44682B2Convencional pré-pagamentoRuralNão se aplicaNão se aplicaNão se aplicaNão se aplica",Mercado_Receita!$L$2:$L$345)</f>
        <v>0</v>
      </c>
      <c r="R39" s="13">
        <f>SUMIF(Mercado_Receita!$S$2:$S$345,"44713B2Convencional pré-pagamentoRuralNão se aplicaNão se aplicaNão se aplicaPonta",Mercado_Receita!$L$2:$L$345)+SUMIF(Mercado_Receita!$S$2:$S$345,"44713B2Convencional pré-pagamentoRuralNão se aplicaNão se aplicaNão se aplicaFora ponta",Mercado_Receita!$L$2:$L$345)+SUMIF(Mercado_Receita!$S$2:$S$345,"44713B2Convencional pré-pagamentoRuralNão se aplicaNão se aplicaNão se aplicaIntermediário",Mercado_Receita!$L$2:$L$345)+SUMIF(Mercado_Receita!$S$2:$S$345,"44713B2Convencional pré-pagamentoRuralNão se aplicaNão se aplicaNão se aplicaNão se aplica",Mercado_Receita!$L$2:$L$345)</f>
        <v>0</v>
      </c>
      <c r="S39" s="13">
        <f>SUMIF(Mercado_Receita!$S$2:$S$345,"44743B2Convencional pré-pagamentoRuralNão se aplicaNão se aplicaNão se aplicaPonta",Mercado_Receita!$L$2:$L$345)+SUMIF(Mercado_Receita!$S$2:$S$345,"44743B2Convencional pré-pagamentoRuralNão se aplicaNão se aplicaNão se aplicaFora ponta",Mercado_Receita!$L$2:$L$345)+SUMIF(Mercado_Receita!$S$2:$S$345,"44743B2Convencional pré-pagamentoRuralNão se aplicaNão se aplicaNão se aplicaIntermediário",Mercado_Receita!$L$2:$L$345)+SUMIF(Mercado_Receita!$S$2:$S$345,"44743B2Convencional pré-pagamentoRuralNão se aplicaNão se aplicaNão se aplicaNão se aplica",Mercado_Receita!$L$2:$L$345)</f>
        <v>0</v>
      </c>
      <c r="T39" s="13">
        <f>SUMIF(Mercado_Receita!$S$2:$S$345,"44774B2Convencional pré-pagamentoRuralNão se aplicaNão se aplicaNão se aplicaPonta",Mercado_Receita!$L$2:$L$345)+SUMIF(Mercado_Receita!$S$2:$S$345,"44774B2Convencional pré-pagamentoRuralNão se aplicaNão se aplicaNão se aplicaFora ponta",Mercado_Receita!$L$2:$L$345)+SUMIF(Mercado_Receita!$S$2:$S$345,"44774B2Convencional pré-pagamentoRuralNão se aplicaNão se aplicaNão se aplicaIntermediário",Mercado_Receita!$L$2:$L$345)+SUMIF(Mercado_Receita!$S$2:$S$345,"44774B2Convencional pré-pagamentoRuralNão se aplicaNão se aplicaNão se aplicaNão se aplica",Mercado_Receita!$L$2:$L$345)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75"/>
      <c r="B40" s="75"/>
      <c r="C40" s="75"/>
      <c r="D40" s="12" t="s">
        <v>88</v>
      </c>
      <c r="E40" s="12" t="s">
        <v>25</v>
      </c>
      <c r="F40" s="12" t="s">
        <v>25</v>
      </c>
      <c r="G40" s="13" t="s">
        <v>77</v>
      </c>
      <c r="H40" s="13" t="s">
        <v>70</v>
      </c>
      <c r="I40" s="13">
        <f>SUMIF(Mercado_Receita!$S$2:$S$345,"44440B2Convencional pré-pagamentoRuralCooperativa de eletrificação ruralNão se aplicaNão se aplicaPonta",Mercado_Receita!$L$2:$L$345)+SUMIF(Mercado_Receita!$S$2:$S$345,"44440B2Convencional pré-pagamentoRuralCooperativa de eletrificação ruralNão se aplicaNão se aplicaFora ponta",Mercado_Receita!$L$2:$L$345)+SUMIF(Mercado_Receita!$S$2:$S$345,"44440B2Convencional pré-pagamentoRuralCooperativa de eletrificação ruralNão se aplicaNão se aplicaIntermediário",Mercado_Receita!$L$2:$L$345)+SUMIF(Mercado_Receita!$S$2:$S$345,"44440B2Convencional pré-pagamentoRuralCooperativa de eletrificação ruralNão se aplicaNão se aplicaNão se aplica",Mercado_Receita!$L$2:$L$345)</f>
        <v>0</v>
      </c>
      <c r="J40" s="13">
        <f>SUMIF(Mercado_Receita!$S$2:$S$345,"44470B2Convencional pré-pagamentoRuralCooperativa de eletrificação ruralNão se aplicaNão se aplicaPonta",Mercado_Receita!$L$2:$L$345)+SUMIF(Mercado_Receita!$S$2:$S$345,"44470B2Convencional pré-pagamentoRuralCooperativa de eletrificação ruralNão se aplicaNão se aplicaFora ponta",Mercado_Receita!$L$2:$L$345)+SUMIF(Mercado_Receita!$S$2:$S$345,"44470B2Convencional pré-pagamentoRuralCooperativa de eletrificação ruralNão se aplicaNão se aplicaIntermediário",Mercado_Receita!$L$2:$L$345)+SUMIF(Mercado_Receita!$S$2:$S$345,"44470B2Convencional pré-pagamentoRuralCooperativa de eletrificação ruralNão se aplicaNão se aplicaNão se aplica",Mercado_Receita!$L$2:$L$345)</f>
        <v>0</v>
      </c>
      <c r="K40" s="13">
        <f>SUMIF(Mercado_Receita!$S$2:$S$345,"44501B2Convencional pré-pagamentoRuralCooperativa de eletrificação ruralNão se aplicaNão se aplicaPonta",Mercado_Receita!$L$2:$L$345)+SUMIF(Mercado_Receita!$S$2:$S$345,"44501B2Convencional pré-pagamentoRuralCooperativa de eletrificação ruralNão se aplicaNão se aplicaFora ponta",Mercado_Receita!$L$2:$L$345)+SUMIF(Mercado_Receita!$S$2:$S$345,"44501B2Convencional pré-pagamentoRuralCooperativa de eletrificação ruralNão se aplicaNão se aplicaIntermediário",Mercado_Receita!$L$2:$L$345)+SUMIF(Mercado_Receita!$S$2:$S$345,"44501B2Convencional pré-pagamentoRuralCooperativa de eletrificação ruralNão se aplicaNão se aplicaNão se aplica",Mercado_Receita!$L$2:$L$345)</f>
        <v>0</v>
      </c>
      <c r="L40" s="13">
        <f>SUMIF(Mercado_Receita!$S$2:$S$345,"44531B2Convencional pré-pagamentoRuralCooperativa de eletrificação ruralNão se aplicaNão se aplicaPonta",Mercado_Receita!$L$2:$L$345)+SUMIF(Mercado_Receita!$S$2:$S$345,"44531B2Convencional pré-pagamentoRuralCooperativa de eletrificação ruralNão se aplicaNão se aplicaFora ponta",Mercado_Receita!$L$2:$L$345)+SUMIF(Mercado_Receita!$S$2:$S$345,"44531B2Convencional pré-pagamentoRuralCooperativa de eletrificação ruralNão se aplicaNão se aplicaIntermediário",Mercado_Receita!$L$2:$L$345)+SUMIF(Mercado_Receita!$S$2:$S$345,"44531B2Convencional pré-pagamentoRuralCooperativa de eletrificação ruralNão se aplicaNão se aplicaNão se aplica",Mercado_Receita!$L$2:$L$345)</f>
        <v>0</v>
      </c>
      <c r="M40" s="13">
        <f>SUMIF(Mercado_Receita!$S$2:$S$345,"44562B2Convencional pré-pagamentoRuralCooperativa de eletrificação ruralNão se aplicaNão se aplicaPonta",Mercado_Receita!$L$2:$L$345)+SUMIF(Mercado_Receita!$S$2:$S$345,"44562B2Convencional pré-pagamentoRuralCooperativa de eletrificação ruralNão se aplicaNão se aplicaFora ponta",Mercado_Receita!$L$2:$L$345)+SUMIF(Mercado_Receita!$S$2:$S$345,"44562B2Convencional pré-pagamentoRuralCooperativa de eletrificação ruralNão se aplicaNão se aplicaIntermediário",Mercado_Receita!$L$2:$L$345)+SUMIF(Mercado_Receita!$S$2:$S$345,"44562B2Convencional pré-pagamentoRuralCooperativa de eletrificação ruralNão se aplicaNão se aplicaNão se aplica",Mercado_Receita!$L$2:$L$345)</f>
        <v>0</v>
      </c>
      <c r="N40" s="13">
        <f>SUMIF(Mercado_Receita!$S$2:$S$345,"44593B2Convencional pré-pagamentoRuralCooperativa de eletrificação ruralNão se aplicaNão se aplicaPonta",Mercado_Receita!$L$2:$L$345)+SUMIF(Mercado_Receita!$S$2:$S$345,"44593B2Convencional pré-pagamentoRuralCooperativa de eletrificação ruralNão se aplicaNão se aplicaFora ponta",Mercado_Receita!$L$2:$L$345)+SUMIF(Mercado_Receita!$S$2:$S$345,"44593B2Convencional pré-pagamentoRuralCooperativa de eletrificação ruralNão se aplicaNão se aplicaIntermediário",Mercado_Receita!$L$2:$L$345)+SUMIF(Mercado_Receita!$S$2:$S$345,"44593B2Convencional pré-pagamentoRuralCooperativa de eletrificação ruralNão se aplicaNão se aplicaNão se aplica",Mercado_Receita!$L$2:$L$345)</f>
        <v>0</v>
      </c>
      <c r="O40" s="13">
        <f>SUMIF(Mercado_Receita!$S$2:$S$345,"44621B2Convencional pré-pagamentoRuralCooperativa de eletrificação ruralNão se aplicaNão se aplicaPonta",Mercado_Receita!$L$2:$L$345)+SUMIF(Mercado_Receita!$S$2:$S$345,"44621B2Convencional pré-pagamentoRuralCooperativa de eletrificação ruralNão se aplicaNão se aplicaFora ponta",Mercado_Receita!$L$2:$L$345)+SUMIF(Mercado_Receita!$S$2:$S$345,"44621B2Convencional pré-pagamentoRuralCooperativa de eletrificação ruralNão se aplicaNão se aplicaIntermediário",Mercado_Receita!$L$2:$L$345)+SUMIF(Mercado_Receita!$S$2:$S$345,"44621B2Convencional pré-pagamentoRuralCooperativa de eletrificação ruralNão se aplicaNão se aplicaNão se aplica",Mercado_Receita!$L$2:$L$345)</f>
        <v>0</v>
      </c>
      <c r="P40" s="13">
        <f>SUMIF(Mercado_Receita!$S$2:$S$345,"44652B2Convencional pré-pagamentoRuralCooperativa de eletrificação ruralNão se aplicaNão se aplicaPonta",Mercado_Receita!$L$2:$L$345)+SUMIF(Mercado_Receita!$S$2:$S$345,"44652B2Convencional pré-pagamentoRuralCooperativa de eletrificação ruralNão se aplicaNão se aplicaFora ponta",Mercado_Receita!$L$2:$L$345)+SUMIF(Mercado_Receita!$S$2:$S$345,"44652B2Convencional pré-pagamentoRuralCooperativa de eletrificação ruralNão se aplicaNão se aplicaIntermediário",Mercado_Receita!$L$2:$L$345)+SUMIF(Mercado_Receita!$S$2:$S$345,"44652B2Convencional pré-pagamentoRuralCooperativa de eletrificação ruralNão se aplicaNão se aplicaNão se aplica",Mercado_Receita!$L$2:$L$345)</f>
        <v>0</v>
      </c>
      <c r="Q40" s="13">
        <f>SUMIF(Mercado_Receita!$S$2:$S$345,"44682B2Convencional pré-pagamentoRuralCooperativa de eletrificação ruralNão se aplicaNão se aplicaPonta",Mercado_Receita!$L$2:$L$345)+SUMIF(Mercado_Receita!$S$2:$S$345,"44682B2Convencional pré-pagamentoRuralCooperativa de eletrificação ruralNão se aplicaNão se aplicaFora ponta",Mercado_Receita!$L$2:$L$345)+SUMIF(Mercado_Receita!$S$2:$S$345,"44682B2Convencional pré-pagamentoRuralCooperativa de eletrificação ruralNão se aplicaNão se aplicaIntermediário",Mercado_Receita!$L$2:$L$345)+SUMIF(Mercado_Receita!$S$2:$S$345,"44682B2Convencional pré-pagamentoRuralCooperativa de eletrificação ruralNão se aplicaNão se aplicaNão se aplica",Mercado_Receita!$L$2:$L$345)</f>
        <v>0</v>
      </c>
      <c r="R40" s="13">
        <f>SUMIF(Mercado_Receita!$S$2:$S$345,"44713B2Convencional pré-pagamentoRuralCooperativa de eletrificação ruralNão se aplicaNão se aplicaPonta",Mercado_Receita!$L$2:$L$345)+SUMIF(Mercado_Receita!$S$2:$S$345,"44713B2Convencional pré-pagamentoRuralCooperativa de eletrificação ruralNão se aplicaNão se aplicaFora ponta",Mercado_Receita!$L$2:$L$345)+SUMIF(Mercado_Receita!$S$2:$S$345,"44713B2Convencional pré-pagamentoRuralCooperativa de eletrificação ruralNão se aplicaNão se aplicaIntermediário",Mercado_Receita!$L$2:$L$345)+SUMIF(Mercado_Receita!$S$2:$S$345,"44713B2Convencional pré-pagamentoRuralCooperativa de eletrificação ruralNão se aplicaNão se aplicaNão se aplica",Mercado_Receita!$L$2:$L$345)</f>
        <v>0</v>
      </c>
      <c r="S40" s="13">
        <f>SUMIF(Mercado_Receita!$S$2:$S$345,"44743B2Convencional pré-pagamentoRuralCooperativa de eletrificação ruralNão se aplicaNão se aplicaPonta",Mercado_Receita!$L$2:$L$345)+SUMIF(Mercado_Receita!$S$2:$S$345,"44743B2Convencional pré-pagamentoRuralCooperativa de eletrificação ruralNão se aplicaNão se aplicaFora ponta",Mercado_Receita!$L$2:$L$345)+SUMIF(Mercado_Receita!$S$2:$S$345,"44743B2Convencional pré-pagamentoRuralCooperativa de eletrificação ruralNão se aplicaNão se aplicaIntermediário",Mercado_Receita!$L$2:$L$345)+SUMIF(Mercado_Receita!$S$2:$S$345,"44743B2Convencional pré-pagamentoRuralCooperativa de eletrificação ruralNão se aplicaNão se aplicaNão se aplica",Mercado_Receita!$L$2:$L$345)</f>
        <v>0</v>
      </c>
      <c r="T40" s="13">
        <f>SUMIF(Mercado_Receita!$S$2:$S$345,"44774B2Convencional pré-pagamentoRuralCooperativa de eletrificação ruralNão se aplicaNão se aplicaPonta",Mercado_Receita!$L$2:$L$345)+SUMIF(Mercado_Receita!$S$2:$S$345,"44774B2Convencional pré-pagamentoRuralCooperativa de eletrificação ruralNão se aplicaNão se aplicaFora ponta",Mercado_Receita!$L$2:$L$345)+SUMIF(Mercado_Receita!$S$2:$S$345,"44774B2Convencional pré-pagamentoRuralCooperativa de eletrificação ruralNão se aplicaNão se aplicaIntermediário",Mercado_Receita!$L$2:$L$345)+SUMIF(Mercado_Receita!$S$2:$S$345,"44774B2Convencional pré-pagamentoRuralCooperativa de eletrificação ruralNão se aplicaNão se aplicaNão se aplica",Mercado_Receita!$L$2:$L$345)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75"/>
      <c r="B41" s="75"/>
      <c r="C41" s="75"/>
      <c r="D41" s="12" t="s">
        <v>89</v>
      </c>
      <c r="E41" s="12" t="s">
        <v>25</v>
      </c>
      <c r="F41" s="12" t="s">
        <v>25</v>
      </c>
      <c r="G41" s="13" t="s">
        <v>77</v>
      </c>
      <c r="H41" s="13" t="s">
        <v>70</v>
      </c>
      <c r="I41" s="13">
        <f>SUMIF(Mercado_Receita!$S$2:$S$345,"44440B2Convencional pré-pagamentoRuralServiço público de irrigação ruralNão se aplicaNão se aplicaPonta",Mercado_Receita!$L$2:$L$345)+SUMIF(Mercado_Receita!$S$2:$S$345,"44440B2Convencional pré-pagamentoRuralServiço público de irrigação ruralNão se aplicaNão se aplicaFora ponta",Mercado_Receita!$L$2:$L$345)+SUMIF(Mercado_Receita!$S$2:$S$345,"44440B2Convencional pré-pagamentoRuralServiço público de irrigação ruralNão se aplicaNão se aplicaIntermediário",Mercado_Receita!$L$2:$L$345)+SUMIF(Mercado_Receita!$S$2:$S$345,"44440B2Convencional pré-pagamentoRuralServiço público de irrigação ruralNão se aplicaNão se aplicaNão se aplica",Mercado_Receita!$L$2:$L$345)</f>
        <v>0</v>
      </c>
      <c r="J41" s="13">
        <f>SUMIF(Mercado_Receita!$S$2:$S$345,"44470B2Convencional pré-pagamentoRuralServiço público de irrigação ruralNão se aplicaNão se aplicaPonta",Mercado_Receita!$L$2:$L$345)+SUMIF(Mercado_Receita!$S$2:$S$345,"44470B2Convencional pré-pagamentoRuralServiço público de irrigação ruralNão se aplicaNão se aplicaFora ponta",Mercado_Receita!$L$2:$L$345)+SUMIF(Mercado_Receita!$S$2:$S$345,"44470B2Convencional pré-pagamentoRuralServiço público de irrigação ruralNão se aplicaNão se aplicaIntermediário",Mercado_Receita!$L$2:$L$345)+SUMIF(Mercado_Receita!$S$2:$S$345,"44470B2Convencional pré-pagamentoRuralServiço público de irrigação ruralNão se aplicaNão se aplicaNão se aplica",Mercado_Receita!$L$2:$L$345)</f>
        <v>0</v>
      </c>
      <c r="K41" s="13">
        <f>SUMIF(Mercado_Receita!$S$2:$S$345,"44501B2Convencional pré-pagamentoRuralServiço público de irrigação ruralNão se aplicaNão se aplicaPonta",Mercado_Receita!$L$2:$L$345)+SUMIF(Mercado_Receita!$S$2:$S$345,"44501B2Convencional pré-pagamentoRuralServiço público de irrigação ruralNão se aplicaNão se aplicaFora ponta",Mercado_Receita!$L$2:$L$345)+SUMIF(Mercado_Receita!$S$2:$S$345,"44501B2Convencional pré-pagamentoRuralServiço público de irrigação ruralNão se aplicaNão se aplicaIntermediário",Mercado_Receita!$L$2:$L$345)+SUMIF(Mercado_Receita!$S$2:$S$345,"44501B2Convencional pré-pagamentoRuralServiço público de irrigação ruralNão se aplicaNão se aplicaNão se aplica",Mercado_Receita!$L$2:$L$345)</f>
        <v>0</v>
      </c>
      <c r="L41" s="13">
        <f>SUMIF(Mercado_Receita!$S$2:$S$345,"44531B2Convencional pré-pagamentoRuralServiço público de irrigação ruralNão se aplicaNão se aplicaPonta",Mercado_Receita!$L$2:$L$345)+SUMIF(Mercado_Receita!$S$2:$S$345,"44531B2Convencional pré-pagamentoRuralServiço público de irrigação ruralNão se aplicaNão se aplicaFora ponta",Mercado_Receita!$L$2:$L$345)+SUMIF(Mercado_Receita!$S$2:$S$345,"44531B2Convencional pré-pagamentoRuralServiço público de irrigação ruralNão se aplicaNão se aplicaIntermediário",Mercado_Receita!$L$2:$L$345)+SUMIF(Mercado_Receita!$S$2:$S$345,"44531B2Convencional pré-pagamentoRuralServiço público de irrigação ruralNão se aplicaNão se aplicaNão se aplica",Mercado_Receita!$L$2:$L$345)</f>
        <v>0</v>
      </c>
      <c r="M41" s="13">
        <f>SUMIF(Mercado_Receita!$S$2:$S$345,"44562B2Convencional pré-pagamentoRuralServiço público de irrigação ruralNão se aplicaNão se aplicaPonta",Mercado_Receita!$L$2:$L$345)+SUMIF(Mercado_Receita!$S$2:$S$345,"44562B2Convencional pré-pagamentoRuralServiço público de irrigação ruralNão se aplicaNão se aplicaFora ponta",Mercado_Receita!$L$2:$L$345)+SUMIF(Mercado_Receita!$S$2:$S$345,"44562B2Convencional pré-pagamentoRuralServiço público de irrigação ruralNão se aplicaNão se aplicaIntermediário",Mercado_Receita!$L$2:$L$345)+SUMIF(Mercado_Receita!$S$2:$S$345,"44562B2Convencional pré-pagamentoRuralServiço público de irrigação ruralNão se aplicaNão se aplicaNão se aplica",Mercado_Receita!$L$2:$L$345)</f>
        <v>0</v>
      </c>
      <c r="N41" s="13">
        <f>SUMIF(Mercado_Receita!$S$2:$S$345,"44593B2Convencional pré-pagamentoRuralServiço público de irrigação ruralNão se aplicaNão se aplicaPonta",Mercado_Receita!$L$2:$L$345)+SUMIF(Mercado_Receita!$S$2:$S$345,"44593B2Convencional pré-pagamentoRuralServiço público de irrigação ruralNão se aplicaNão se aplicaFora ponta",Mercado_Receita!$L$2:$L$345)+SUMIF(Mercado_Receita!$S$2:$S$345,"44593B2Convencional pré-pagamentoRuralServiço público de irrigação ruralNão se aplicaNão se aplicaIntermediário",Mercado_Receita!$L$2:$L$345)+SUMIF(Mercado_Receita!$S$2:$S$345,"44593B2Convencional pré-pagamentoRuralServiço público de irrigação ruralNão se aplicaNão se aplicaNão se aplica",Mercado_Receita!$L$2:$L$345)</f>
        <v>0</v>
      </c>
      <c r="O41" s="13">
        <f>SUMIF(Mercado_Receita!$S$2:$S$345,"44621B2Convencional pré-pagamentoRuralServiço público de irrigação ruralNão se aplicaNão se aplicaPonta",Mercado_Receita!$L$2:$L$345)+SUMIF(Mercado_Receita!$S$2:$S$345,"44621B2Convencional pré-pagamentoRuralServiço público de irrigação ruralNão se aplicaNão se aplicaFora ponta",Mercado_Receita!$L$2:$L$345)+SUMIF(Mercado_Receita!$S$2:$S$345,"44621B2Convencional pré-pagamentoRuralServiço público de irrigação ruralNão se aplicaNão se aplicaIntermediário",Mercado_Receita!$L$2:$L$345)+SUMIF(Mercado_Receita!$S$2:$S$345,"44621B2Convencional pré-pagamentoRuralServiço público de irrigação ruralNão se aplicaNão se aplicaNão se aplica",Mercado_Receita!$L$2:$L$345)</f>
        <v>0</v>
      </c>
      <c r="P41" s="13">
        <f>SUMIF(Mercado_Receita!$S$2:$S$345,"44652B2Convencional pré-pagamentoRuralServiço público de irrigação ruralNão se aplicaNão se aplicaPonta",Mercado_Receita!$L$2:$L$345)+SUMIF(Mercado_Receita!$S$2:$S$345,"44652B2Convencional pré-pagamentoRuralServiço público de irrigação ruralNão se aplicaNão se aplicaFora ponta",Mercado_Receita!$L$2:$L$345)+SUMIF(Mercado_Receita!$S$2:$S$345,"44652B2Convencional pré-pagamentoRuralServiço público de irrigação ruralNão se aplicaNão se aplicaIntermediário",Mercado_Receita!$L$2:$L$345)+SUMIF(Mercado_Receita!$S$2:$S$345,"44652B2Convencional pré-pagamentoRuralServiço público de irrigação ruralNão se aplicaNão se aplicaNão se aplica",Mercado_Receita!$L$2:$L$345)</f>
        <v>0</v>
      </c>
      <c r="Q41" s="13">
        <f>SUMIF(Mercado_Receita!$S$2:$S$345,"44682B2Convencional pré-pagamentoRuralServiço público de irrigação ruralNão se aplicaNão se aplicaPonta",Mercado_Receita!$L$2:$L$345)+SUMIF(Mercado_Receita!$S$2:$S$345,"44682B2Convencional pré-pagamentoRuralServiço público de irrigação ruralNão se aplicaNão se aplicaFora ponta",Mercado_Receita!$L$2:$L$345)+SUMIF(Mercado_Receita!$S$2:$S$345,"44682B2Convencional pré-pagamentoRuralServiço público de irrigação ruralNão se aplicaNão se aplicaIntermediário",Mercado_Receita!$L$2:$L$345)+SUMIF(Mercado_Receita!$S$2:$S$345,"44682B2Convencional pré-pagamentoRuralServiço público de irrigação ruralNão se aplicaNão se aplicaNão se aplica",Mercado_Receita!$L$2:$L$345)</f>
        <v>0</v>
      </c>
      <c r="R41" s="13">
        <f>SUMIF(Mercado_Receita!$S$2:$S$345,"44713B2Convencional pré-pagamentoRuralServiço público de irrigação ruralNão se aplicaNão se aplicaPonta",Mercado_Receita!$L$2:$L$345)+SUMIF(Mercado_Receita!$S$2:$S$345,"44713B2Convencional pré-pagamentoRuralServiço público de irrigação ruralNão se aplicaNão se aplicaFora ponta",Mercado_Receita!$L$2:$L$345)+SUMIF(Mercado_Receita!$S$2:$S$345,"44713B2Convencional pré-pagamentoRuralServiço público de irrigação ruralNão se aplicaNão se aplicaIntermediário",Mercado_Receita!$L$2:$L$345)+SUMIF(Mercado_Receita!$S$2:$S$345,"44713B2Convencional pré-pagamentoRuralServiço público de irrigação ruralNão se aplicaNão se aplicaNão se aplica",Mercado_Receita!$L$2:$L$345)</f>
        <v>0</v>
      </c>
      <c r="S41" s="13">
        <f>SUMIF(Mercado_Receita!$S$2:$S$345,"44743B2Convencional pré-pagamentoRuralServiço público de irrigação ruralNão se aplicaNão se aplicaPonta",Mercado_Receita!$L$2:$L$345)+SUMIF(Mercado_Receita!$S$2:$S$345,"44743B2Convencional pré-pagamentoRuralServiço público de irrigação ruralNão se aplicaNão se aplicaFora ponta",Mercado_Receita!$L$2:$L$345)+SUMIF(Mercado_Receita!$S$2:$S$345,"44743B2Convencional pré-pagamentoRuralServiço público de irrigação ruralNão se aplicaNão se aplicaIntermediário",Mercado_Receita!$L$2:$L$345)+SUMIF(Mercado_Receita!$S$2:$S$345,"44743B2Convencional pré-pagamentoRuralServiço público de irrigação ruralNão se aplicaNão se aplicaNão se aplica",Mercado_Receita!$L$2:$L$345)</f>
        <v>0</v>
      </c>
      <c r="T41" s="13">
        <f>SUMIF(Mercado_Receita!$S$2:$S$345,"44774B2Convencional pré-pagamentoRuralServiço público de irrigação ruralNão se aplicaNão se aplicaPonta",Mercado_Receita!$L$2:$L$345)+SUMIF(Mercado_Receita!$S$2:$S$345,"44774B2Convencional pré-pagamentoRuralServiço público de irrigação ruralNão se aplicaNão se aplicaFora ponta",Mercado_Receita!$L$2:$L$345)+SUMIF(Mercado_Receita!$S$2:$S$345,"44774B2Convencional pré-pagamentoRuralServiço público de irrigação ruralNão se aplicaNão se aplicaIntermediário",Mercado_Receita!$L$2:$L$345)+SUMIF(Mercado_Receita!$S$2:$S$345,"44774B2Convencional pré-pagamentoRuralServiço público de irrigação ruralNão se aplicaNão se aplicaNão se aplica",Mercado_Receita!$L$2:$L$345)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4" t="s">
        <v>33</v>
      </c>
      <c r="B42" s="74" t="s">
        <v>85</v>
      </c>
      <c r="C42" s="74" t="s">
        <v>25</v>
      </c>
      <c r="D42" s="74" t="s">
        <v>25</v>
      </c>
      <c r="E42" s="74" t="s">
        <v>25</v>
      </c>
      <c r="F42" s="74" t="s">
        <v>25</v>
      </c>
      <c r="G42" s="13" t="s">
        <v>71</v>
      </c>
      <c r="H42" s="13" t="s">
        <v>70</v>
      </c>
      <c r="I42" s="13">
        <f>SUMIF(Mercado_Receita!$S$2:$S$345,"44440B3BrancaNão se aplicaNão se aplicaNão se aplicaNão se aplicaPonta",Mercado_Receita!$L$2:$L$345)</f>
        <v>0</v>
      </c>
      <c r="J42" s="13">
        <f>SUMIF(Mercado_Receita!$S$2:$S$345,"44470B3BrancaNão se aplicaNão se aplicaNão se aplicaNão se aplicaPonta",Mercado_Receita!$L$2:$L$345)</f>
        <v>0</v>
      </c>
      <c r="K42" s="13">
        <f>SUMIF(Mercado_Receita!$S$2:$S$345,"44501B3BrancaNão se aplicaNão se aplicaNão se aplicaNão se aplicaPonta",Mercado_Receita!$L$2:$L$345)</f>
        <v>0</v>
      </c>
      <c r="L42" s="13">
        <f>SUMIF(Mercado_Receita!$S$2:$S$345,"44531B3BrancaNão se aplicaNão se aplicaNão se aplicaNão se aplicaPonta",Mercado_Receita!$L$2:$L$345)</f>
        <v>0</v>
      </c>
      <c r="M42" s="13">
        <f>SUMIF(Mercado_Receita!$S$2:$S$345,"44562B3BrancaNão se aplicaNão se aplicaNão se aplicaNão se aplicaPonta",Mercado_Receita!$L$2:$L$345)</f>
        <v>0</v>
      </c>
      <c r="N42" s="13">
        <f>SUMIF(Mercado_Receita!$S$2:$S$345,"44593B3BrancaNão se aplicaNão se aplicaNão se aplicaNão se aplicaPonta",Mercado_Receita!$L$2:$L$345)</f>
        <v>0</v>
      </c>
      <c r="O42" s="13">
        <f>SUMIF(Mercado_Receita!$S$2:$S$345,"44621B3BrancaNão se aplicaNão se aplicaNão se aplicaNão se aplicaPonta",Mercado_Receita!$L$2:$L$345)</f>
        <v>0</v>
      </c>
      <c r="P42" s="13">
        <f>SUMIF(Mercado_Receita!$S$2:$S$345,"44652B3BrancaNão se aplicaNão se aplicaNão se aplicaNão se aplicaPonta",Mercado_Receita!$L$2:$L$345)</f>
        <v>0</v>
      </c>
      <c r="Q42" s="13">
        <f>SUMIF(Mercado_Receita!$S$2:$S$345,"44682B3BrancaNão se aplicaNão se aplicaNão se aplicaNão se aplicaPonta",Mercado_Receita!$L$2:$L$345)</f>
        <v>0</v>
      </c>
      <c r="R42" s="13">
        <f>SUMIF(Mercado_Receita!$S$2:$S$345,"44713B3BrancaNão se aplicaNão se aplicaNão se aplicaNão se aplicaPonta",Mercado_Receita!$L$2:$L$345)</f>
        <v>0</v>
      </c>
      <c r="S42" s="13">
        <f>SUMIF(Mercado_Receita!$S$2:$S$345,"44743B3BrancaNão se aplicaNão se aplicaNão se aplicaNão se aplicaPonta",Mercado_Receita!$L$2:$L$345)</f>
        <v>0</v>
      </c>
      <c r="T42" s="13">
        <f>SUMIF(Mercado_Receita!$S$2:$S$345,"44774B3BrancaNão se aplicaNão se aplicaNão se aplicaNão se aplicaPonta",Mercado_Receita!$L$2:$L$345)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75"/>
      <c r="B43" s="75"/>
      <c r="C43" s="75"/>
      <c r="D43" s="75"/>
      <c r="E43" s="75"/>
      <c r="F43" s="75"/>
      <c r="G43" s="13" t="s">
        <v>83</v>
      </c>
      <c r="H43" s="13" t="s">
        <v>70</v>
      </c>
      <c r="I43" s="13">
        <f>SUMIF(Mercado_Receita!$S$2:$S$345,"44440B3BrancaNão se aplicaNão se aplicaNão se aplicaNão se aplicaIntermediário",Mercado_Receita!$L$2:$L$345)</f>
        <v>0</v>
      </c>
      <c r="J43" s="13">
        <f>SUMIF(Mercado_Receita!$S$2:$S$345,"44470B3BrancaNão se aplicaNão se aplicaNão se aplicaNão se aplicaIntermediário",Mercado_Receita!$L$2:$L$345)</f>
        <v>0</v>
      </c>
      <c r="K43" s="13">
        <f>SUMIF(Mercado_Receita!$S$2:$S$345,"44501B3BrancaNão se aplicaNão se aplicaNão se aplicaNão se aplicaIntermediário",Mercado_Receita!$L$2:$L$345)</f>
        <v>0</v>
      </c>
      <c r="L43" s="13">
        <f>SUMIF(Mercado_Receita!$S$2:$S$345,"44531B3BrancaNão se aplicaNão se aplicaNão se aplicaNão se aplicaIntermediário",Mercado_Receita!$L$2:$L$345)</f>
        <v>0</v>
      </c>
      <c r="M43" s="13">
        <f>SUMIF(Mercado_Receita!$S$2:$S$345,"44562B3BrancaNão se aplicaNão se aplicaNão se aplicaNão se aplicaIntermediário",Mercado_Receita!$L$2:$L$345)</f>
        <v>0</v>
      </c>
      <c r="N43" s="13">
        <f>SUMIF(Mercado_Receita!$S$2:$S$345,"44593B3BrancaNão se aplicaNão se aplicaNão se aplicaNão se aplicaIntermediário",Mercado_Receita!$L$2:$L$345)</f>
        <v>0</v>
      </c>
      <c r="O43" s="13">
        <f>SUMIF(Mercado_Receita!$S$2:$S$345,"44621B3BrancaNão se aplicaNão se aplicaNão se aplicaNão se aplicaIntermediário",Mercado_Receita!$L$2:$L$345)</f>
        <v>0</v>
      </c>
      <c r="P43" s="13">
        <f>SUMIF(Mercado_Receita!$S$2:$S$345,"44652B3BrancaNão se aplicaNão se aplicaNão se aplicaNão se aplicaIntermediário",Mercado_Receita!$L$2:$L$345)</f>
        <v>0</v>
      </c>
      <c r="Q43" s="13">
        <f>SUMIF(Mercado_Receita!$S$2:$S$345,"44682B3BrancaNão se aplicaNão se aplicaNão se aplicaNão se aplicaIntermediário",Mercado_Receita!$L$2:$L$345)</f>
        <v>0</v>
      </c>
      <c r="R43" s="13">
        <f>SUMIF(Mercado_Receita!$S$2:$S$345,"44713B3BrancaNão se aplicaNão se aplicaNão se aplicaNão se aplicaIntermediário",Mercado_Receita!$L$2:$L$345)</f>
        <v>0</v>
      </c>
      <c r="S43" s="13">
        <f>SUMIF(Mercado_Receita!$S$2:$S$345,"44743B3BrancaNão se aplicaNão se aplicaNão se aplicaNão se aplicaIntermediário",Mercado_Receita!$L$2:$L$345)</f>
        <v>0</v>
      </c>
      <c r="T43" s="13">
        <f>SUMIF(Mercado_Receita!$S$2:$S$345,"44774B3BrancaNão se aplicaNão se aplicaNão se aplicaNão se aplicaIntermediário",Mercado_Receita!$L$2:$L$345)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75"/>
      <c r="B44" s="75"/>
      <c r="C44" s="75"/>
      <c r="D44" s="75"/>
      <c r="E44" s="75"/>
      <c r="F44" s="75"/>
      <c r="G44" s="13" t="s">
        <v>72</v>
      </c>
      <c r="H44" s="13" t="s">
        <v>70</v>
      </c>
      <c r="I44" s="13">
        <f>SUMIF(Mercado_Receita!$S$2:$S$345,"44440B3BrancaNão se aplicaNão se aplicaNão se aplicaNão se aplicaFora ponta",Mercado_Receita!$L$2:$L$345)</f>
        <v>0</v>
      </c>
      <c r="J44" s="13">
        <f>SUMIF(Mercado_Receita!$S$2:$S$345,"44470B3BrancaNão se aplicaNão se aplicaNão se aplicaNão se aplicaFora ponta",Mercado_Receita!$L$2:$L$345)</f>
        <v>0</v>
      </c>
      <c r="K44" s="13">
        <f>SUMIF(Mercado_Receita!$S$2:$S$345,"44501B3BrancaNão se aplicaNão se aplicaNão se aplicaNão se aplicaFora ponta",Mercado_Receita!$L$2:$L$345)</f>
        <v>0</v>
      </c>
      <c r="L44" s="13">
        <f>SUMIF(Mercado_Receita!$S$2:$S$345,"44531B3BrancaNão se aplicaNão se aplicaNão se aplicaNão se aplicaFora ponta",Mercado_Receita!$L$2:$L$345)</f>
        <v>0</v>
      </c>
      <c r="M44" s="13">
        <f>SUMIF(Mercado_Receita!$S$2:$S$345,"44562B3BrancaNão se aplicaNão se aplicaNão se aplicaNão se aplicaFora ponta",Mercado_Receita!$L$2:$L$345)</f>
        <v>0</v>
      </c>
      <c r="N44" s="13">
        <f>SUMIF(Mercado_Receita!$S$2:$S$345,"44593B3BrancaNão se aplicaNão se aplicaNão se aplicaNão se aplicaFora ponta",Mercado_Receita!$L$2:$L$345)</f>
        <v>0</v>
      </c>
      <c r="O44" s="13">
        <f>SUMIF(Mercado_Receita!$S$2:$S$345,"44621B3BrancaNão se aplicaNão se aplicaNão se aplicaNão se aplicaFora ponta",Mercado_Receita!$L$2:$L$345)</f>
        <v>0</v>
      </c>
      <c r="P44" s="13">
        <f>SUMIF(Mercado_Receita!$S$2:$S$345,"44652B3BrancaNão se aplicaNão se aplicaNão se aplicaNão se aplicaFora ponta",Mercado_Receita!$L$2:$L$345)</f>
        <v>0</v>
      </c>
      <c r="Q44" s="13">
        <f>SUMIF(Mercado_Receita!$S$2:$S$345,"44682B3BrancaNão se aplicaNão se aplicaNão se aplicaNão se aplicaFora ponta",Mercado_Receita!$L$2:$L$345)</f>
        <v>0</v>
      </c>
      <c r="R44" s="13">
        <f>SUMIF(Mercado_Receita!$S$2:$S$345,"44713B3BrancaNão se aplicaNão se aplicaNão se aplicaNão se aplicaFora ponta",Mercado_Receita!$L$2:$L$345)</f>
        <v>0</v>
      </c>
      <c r="S44" s="13">
        <f>SUMIF(Mercado_Receita!$S$2:$S$345,"44743B3BrancaNão se aplicaNão se aplicaNão se aplicaNão se aplicaFora ponta",Mercado_Receita!$L$2:$L$345)</f>
        <v>0</v>
      </c>
      <c r="T44" s="13">
        <f>SUMIF(Mercado_Receita!$S$2:$S$345,"44774B3BrancaNão se aplicaNão se aplicaNão se aplicaNão se aplicaFora ponta",Mercado_Receita!$L$2:$L$345)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75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77</v>
      </c>
      <c r="H45" s="13" t="s">
        <v>70</v>
      </c>
      <c r="I45" s="13">
        <f>SUMIF(Mercado_Receita!$S$2:$S$345,"44440B3ConvencionalNão se aplicaNão se aplicaNão se aplicaNão se aplicaPonta",Mercado_Receita!$L$2:$L$345)+SUMIF(Mercado_Receita!$S$2:$S$345,"44440B3ConvencionalNão se aplicaNão se aplicaNão se aplicaNão se aplicaFora ponta",Mercado_Receita!$L$2:$L$345)+SUMIF(Mercado_Receita!$S$2:$S$345,"44440B3ConvencionalNão se aplicaNão se aplicaNão se aplicaNão se aplicaIntermediário",Mercado_Receita!$L$2:$L$345)+SUMIF(Mercado_Receita!$S$2:$S$345,"44440B3ConvencionalNão se aplicaNão se aplicaNão se aplicaNão se aplicaNão se aplica",Mercado_Receita!$L$2:$L$345)</f>
        <v>384.21100000000001</v>
      </c>
      <c r="J45" s="13">
        <f>SUMIF(Mercado_Receita!$S$2:$S$345,"44470B3ConvencionalNão se aplicaNão se aplicaNão se aplicaNão se aplicaPonta",Mercado_Receita!$L$2:$L$345)+SUMIF(Mercado_Receita!$S$2:$S$345,"44470B3ConvencionalNão se aplicaNão se aplicaNão se aplicaNão se aplicaFora ponta",Mercado_Receita!$L$2:$L$345)+SUMIF(Mercado_Receita!$S$2:$S$345,"44470B3ConvencionalNão se aplicaNão se aplicaNão se aplicaNão se aplicaIntermediário",Mercado_Receita!$L$2:$L$345)+SUMIF(Mercado_Receita!$S$2:$S$345,"44470B3ConvencionalNão se aplicaNão se aplicaNão se aplicaNão se aplicaNão se aplica",Mercado_Receita!$L$2:$L$345)</f>
        <v>334.00200000000007</v>
      </c>
      <c r="K45" s="13">
        <f>SUMIF(Mercado_Receita!$S$2:$S$345,"44501B3ConvencionalNão se aplicaNão se aplicaNão se aplicaNão se aplicaPonta",Mercado_Receita!$L$2:$L$345)+SUMIF(Mercado_Receita!$S$2:$S$345,"44501B3ConvencionalNão se aplicaNão se aplicaNão se aplicaNão se aplicaFora ponta",Mercado_Receita!$L$2:$L$345)+SUMIF(Mercado_Receita!$S$2:$S$345,"44501B3ConvencionalNão se aplicaNão se aplicaNão se aplicaNão se aplicaIntermediário",Mercado_Receita!$L$2:$L$345)+SUMIF(Mercado_Receita!$S$2:$S$345,"44501B3ConvencionalNão se aplicaNão se aplicaNão se aplicaNão se aplicaNão se aplica",Mercado_Receita!$L$2:$L$345)</f>
        <v>377.23200000000008</v>
      </c>
      <c r="L45" s="13">
        <f>SUMIF(Mercado_Receita!$S$2:$S$345,"44531B3ConvencionalNão se aplicaNão se aplicaNão se aplicaNão se aplicaPonta",Mercado_Receita!$L$2:$L$345)+SUMIF(Mercado_Receita!$S$2:$S$345,"44531B3ConvencionalNão se aplicaNão se aplicaNão se aplicaNão se aplicaFora ponta",Mercado_Receita!$L$2:$L$345)+SUMIF(Mercado_Receita!$S$2:$S$345,"44531B3ConvencionalNão se aplicaNão se aplicaNão se aplicaNão se aplicaIntermediário",Mercado_Receita!$L$2:$L$345)+SUMIF(Mercado_Receita!$S$2:$S$345,"44531B3ConvencionalNão se aplicaNão se aplicaNão se aplicaNão se aplicaNão se aplica",Mercado_Receita!$L$2:$L$345)</f>
        <v>438.06299999999999</v>
      </c>
      <c r="M45" s="13">
        <f>SUMIF(Mercado_Receita!$S$2:$S$345,"44562B3ConvencionalNão se aplicaNão se aplicaNão se aplicaNão se aplicaPonta",Mercado_Receita!$L$2:$L$345)+SUMIF(Mercado_Receita!$S$2:$S$345,"44562B3ConvencionalNão se aplicaNão se aplicaNão se aplicaNão se aplicaFora ponta",Mercado_Receita!$L$2:$L$345)+SUMIF(Mercado_Receita!$S$2:$S$345,"44562B3ConvencionalNão se aplicaNão se aplicaNão se aplicaNão se aplicaIntermediário",Mercado_Receita!$L$2:$L$345)+SUMIF(Mercado_Receita!$S$2:$S$345,"44562B3ConvencionalNão se aplicaNão se aplicaNão se aplicaNão se aplicaNão se aplica",Mercado_Receita!$L$2:$L$345)</f>
        <v>417.71599999999995</v>
      </c>
      <c r="N45" s="13">
        <f>SUMIF(Mercado_Receita!$S$2:$S$345,"44593B3ConvencionalNão se aplicaNão se aplicaNão se aplicaNão se aplicaPonta",Mercado_Receita!$L$2:$L$345)+SUMIF(Mercado_Receita!$S$2:$S$345,"44593B3ConvencionalNão se aplicaNão se aplicaNão se aplicaNão se aplicaFora ponta",Mercado_Receita!$L$2:$L$345)+SUMIF(Mercado_Receita!$S$2:$S$345,"44593B3ConvencionalNão se aplicaNão se aplicaNão se aplicaNão se aplicaIntermediário",Mercado_Receita!$L$2:$L$345)+SUMIF(Mercado_Receita!$S$2:$S$345,"44593B3ConvencionalNão se aplicaNão se aplicaNão se aplicaNão se aplicaNão se aplica",Mercado_Receita!$L$2:$L$345)</f>
        <v>458.97100000000006</v>
      </c>
      <c r="O45" s="13">
        <f>SUMIF(Mercado_Receita!$S$2:$S$345,"44621B3ConvencionalNão se aplicaNão se aplicaNão se aplicaNão se aplicaPonta",Mercado_Receita!$L$2:$L$345)+SUMIF(Mercado_Receita!$S$2:$S$345,"44621B3ConvencionalNão se aplicaNão se aplicaNão se aplicaNão se aplicaFora ponta",Mercado_Receita!$L$2:$L$345)+SUMIF(Mercado_Receita!$S$2:$S$345,"44621B3ConvencionalNão se aplicaNão se aplicaNão se aplicaNão se aplicaIntermediário",Mercado_Receita!$L$2:$L$345)+SUMIF(Mercado_Receita!$S$2:$S$345,"44621B3ConvencionalNão se aplicaNão se aplicaNão se aplicaNão se aplicaNão se aplica",Mercado_Receita!$L$2:$L$345)</f>
        <v>446.98200000000003</v>
      </c>
      <c r="P45" s="13">
        <f>SUMIF(Mercado_Receita!$S$2:$S$345,"44652B3ConvencionalNão se aplicaNão se aplicaNão se aplicaNão se aplicaPonta",Mercado_Receita!$L$2:$L$345)+SUMIF(Mercado_Receita!$S$2:$S$345,"44652B3ConvencionalNão se aplicaNão se aplicaNão se aplicaNão se aplicaFora ponta",Mercado_Receita!$L$2:$L$345)+SUMIF(Mercado_Receita!$S$2:$S$345,"44652B3ConvencionalNão se aplicaNão se aplicaNão se aplicaNão se aplicaIntermediário",Mercado_Receita!$L$2:$L$345)+SUMIF(Mercado_Receita!$S$2:$S$345,"44652B3ConvencionalNão se aplicaNão se aplicaNão se aplicaNão se aplicaNão se aplica",Mercado_Receita!$L$2:$L$345)</f>
        <v>384.49700000000001</v>
      </c>
      <c r="Q45" s="13">
        <f>SUMIF(Mercado_Receita!$S$2:$S$345,"44682B3ConvencionalNão se aplicaNão se aplicaNão se aplicaNão se aplicaPonta",Mercado_Receita!$L$2:$L$345)+SUMIF(Mercado_Receita!$S$2:$S$345,"44682B3ConvencionalNão se aplicaNão se aplicaNão se aplicaNão se aplicaFora ponta",Mercado_Receita!$L$2:$L$345)+SUMIF(Mercado_Receita!$S$2:$S$345,"44682B3ConvencionalNão se aplicaNão se aplicaNão se aplicaNão se aplicaIntermediário",Mercado_Receita!$L$2:$L$345)+SUMIF(Mercado_Receita!$S$2:$S$345,"44682B3ConvencionalNão se aplicaNão se aplicaNão se aplicaNão se aplicaNão se aplica",Mercado_Receita!$L$2:$L$345)</f>
        <v>370.25900000000001</v>
      </c>
      <c r="R45" s="13">
        <f>SUMIF(Mercado_Receita!$S$2:$S$345,"44713B3ConvencionalNão se aplicaNão se aplicaNão se aplicaNão se aplicaPonta",Mercado_Receita!$L$2:$L$345)+SUMIF(Mercado_Receita!$S$2:$S$345,"44713B3ConvencionalNão se aplicaNão se aplicaNão se aplicaNão se aplicaFora ponta",Mercado_Receita!$L$2:$L$345)+SUMIF(Mercado_Receita!$S$2:$S$345,"44713B3ConvencionalNão se aplicaNão se aplicaNão se aplicaNão se aplicaIntermediário",Mercado_Receita!$L$2:$L$345)+SUMIF(Mercado_Receita!$S$2:$S$345,"44713B3ConvencionalNão se aplicaNão se aplicaNão se aplicaNão se aplicaNão se aplica",Mercado_Receita!$L$2:$L$345)</f>
        <v>370.61999999999995</v>
      </c>
      <c r="S45" s="13">
        <f>SUMIF(Mercado_Receita!$S$2:$S$345,"44743B3ConvencionalNão se aplicaNão se aplicaNão se aplicaNão se aplicaPonta",Mercado_Receita!$L$2:$L$345)+SUMIF(Mercado_Receita!$S$2:$S$345,"44743B3ConvencionalNão se aplicaNão se aplicaNão se aplicaNão se aplicaFora ponta",Mercado_Receita!$L$2:$L$345)+SUMIF(Mercado_Receita!$S$2:$S$345,"44743B3ConvencionalNão se aplicaNão se aplicaNão se aplicaNão se aplicaIntermediário",Mercado_Receita!$L$2:$L$345)+SUMIF(Mercado_Receita!$S$2:$S$345,"44743B3ConvencionalNão se aplicaNão se aplicaNão se aplicaNão se aplicaNão se aplica",Mercado_Receita!$L$2:$L$345)</f>
        <v>356.13900000000001</v>
      </c>
      <c r="T45" s="13">
        <f>SUMIF(Mercado_Receita!$S$2:$S$345,"44774B3ConvencionalNão se aplicaNão se aplicaNão se aplicaNão se aplicaPonta",Mercado_Receita!$L$2:$L$345)+SUMIF(Mercado_Receita!$S$2:$S$345,"44774B3ConvencionalNão se aplicaNão se aplicaNão se aplicaNão se aplicaFora ponta",Mercado_Receita!$L$2:$L$345)+SUMIF(Mercado_Receita!$S$2:$S$345,"44774B3ConvencionalNão se aplicaNão se aplicaNão se aplicaNão se aplicaIntermediário",Mercado_Receita!$L$2:$L$345)+SUMIF(Mercado_Receita!$S$2:$S$345,"44774B3ConvencionalNão se aplicaNão se aplicaNão se aplicaNão se aplicaNão se aplica",Mercado_Receita!$L$2:$L$345)</f>
        <v>372.40100000000007</v>
      </c>
      <c r="U45" s="13">
        <f t="shared" si="0"/>
        <v>4711.0929999999998</v>
      </c>
      <c r="V45" s="13"/>
      <c r="W45" s="13"/>
    </row>
    <row r="46" spans="1:23" ht="11.25" customHeight="1" x14ac:dyDescent="0.25">
      <c r="A46" s="75"/>
      <c r="B46" s="12" t="s">
        <v>87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77</v>
      </c>
      <c r="H46" s="13" t="s">
        <v>70</v>
      </c>
      <c r="I46" s="13">
        <f>SUMIF(Mercado_Receita!$S$2:$S$345,"44440B3Convencional pré-pagamentoNão se aplicaNão se aplicaNão se aplicaNão se aplicaPonta",Mercado_Receita!$L$2:$L$345)+SUMIF(Mercado_Receita!$S$2:$S$345,"44440B3Convencional pré-pagamentoNão se aplicaNão se aplicaNão se aplicaNão se aplicaFora ponta",Mercado_Receita!$L$2:$L$345)+SUMIF(Mercado_Receita!$S$2:$S$345,"44440B3Convencional pré-pagamentoNão se aplicaNão se aplicaNão se aplicaNão se aplicaIntermediário",Mercado_Receita!$L$2:$L$345)+SUMIF(Mercado_Receita!$S$2:$S$345,"44440B3Convencional pré-pagamentoNão se aplicaNão se aplicaNão se aplicaNão se aplicaNão se aplica",Mercado_Receita!$L$2:$L$345)</f>
        <v>0</v>
      </c>
      <c r="J46" s="13">
        <f>SUMIF(Mercado_Receita!$S$2:$S$345,"44470B3Convencional pré-pagamentoNão se aplicaNão se aplicaNão se aplicaNão se aplicaPonta",Mercado_Receita!$L$2:$L$345)+SUMIF(Mercado_Receita!$S$2:$S$345,"44470B3Convencional pré-pagamentoNão se aplicaNão se aplicaNão se aplicaNão se aplicaFora ponta",Mercado_Receita!$L$2:$L$345)+SUMIF(Mercado_Receita!$S$2:$S$345,"44470B3Convencional pré-pagamentoNão se aplicaNão se aplicaNão se aplicaNão se aplicaIntermediário",Mercado_Receita!$L$2:$L$345)+SUMIF(Mercado_Receita!$S$2:$S$345,"44470B3Convencional pré-pagamentoNão se aplicaNão se aplicaNão se aplicaNão se aplicaNão se aplica",Mercado_Receita!$L$2:$L$345)</f>
        <v>0</v>
      </c>
      <c r="K46" s="13">
        <f>SUMIF(Mercado_Receita!$S$2:$S$345,"44501B3Convencional pré-pagamentoNão se aplicaNão se aplicaNão se aplicaNão se aplicaPonta",Mercado_Receita!$L$2:$L$345)+SUMIF(Mercado_Receita!$S$2:$S$345,"44501B3Convencional pré-pagamentoNão se aplicaNão se aplicaNão se aplicaNão se aplicaFora ponta",Mercado_Receita!$L$2:$L$345)+SUMIF(Mercado_Receita!$S$2:$S$345,"44501B3Convencional pré-pagamentoNão se aplicaNão se aplicaNão se aplicaNão se aplicaIntermediário",Mercado_Receita!$L$2:$L$345)+SUMIF(Mercado_Receita!$S$2:$S$345,"44501B3Convencional pré-pagamentoNão se aplicaNão se aplicaNão se aplicaNão se aplicaNão se aplica",Mercado_Receita!$L$2:$L$345)</f>
        <v>0</v>
      </c>
      <c r="L46" s="13">
        <f>SUMIF(Mercado_Receita!$S$2:$S$345,"44531B3Convencional pré-pagamentoNão se aplicaNão se aplicaNão se aplicaNão se aplicaPonta",Mercado_Receita!$L$2:$L$345)+SUMIF(Mercado_Receita!$S$2:$S$345,"44531B3Convencional pré-pagamentoNão se aplicaNão se aplicaNão se aplicaNão se aplicaFora ponta",Mercado_Receita!$L$2:$L$345)+SUMIF(Mercado_Receita!$S$2:$S$345,"44531B3Convencional pré-pagamentoNão se aplicaNão se aplicaNão se aplicaNão se aplicaIntermediário",Mercado_Receita!$L$2:$L$345)+SUMIF(Mercado_Receita!$S$2:$S$345,"44531B3Convencional pré-pagamentoNão se aplicaNão se aplicaNão se aplicaNão se aplicaNão se aplica",Mercado_Receita!$L$2:$L$345)</f>
        <v>0</v>
      </c>
      <c r="M46" s="13">
        <f>SUMIF(Mercado_Receita!$S$2:$S$345,"44562B3Convencional pré-pagamentoNão se aplicaNão se aplicaNão se aplicaNão se aplicaPonta",Mercado_Receita!$L$2:$L$345)+SUMIF(Mercado_Receita!$S$2:$S$345,"44562B3Convencional pré-pagamentoNão se aplicaNão se aplicaNão se aplicaNão se aplicaFora ponta",Mercado_Receita!$L$2:$L$345)+SUMIF(Mercado_Receita!$S$2:$S$345,"44562B3Convencional pré-pagamentoNão se aplicaNão se aplicaNão se aplicaNão se aplicaIntermediário",Mercado_Receita!$L$2:$L$345)+SUMIF(Mercado_Receita!$S$2:$S$345,"44562B3Convencional pré-pagamentoNão se aplicaNão se aplicaNão se aplicaNão se aplicaNão se aplica",Mercado_Receita!$L$2:$L$345)</f>
        <v>0</v>
      </c>
      <c r="N46" s="13">
        <f>SUMIF(Mercado_Receita!$S$2:$S$345,"44593B3Convencional pré-pagamentoNão se aplicaNão se aplicaNão se aplicaNão se aplicaPonta",Mercado_Receita!$L$2:$L$345)+SUMIF(Mercado_Receita!$S$2:$S$345,"44593B3Convencional pré-pagamentoNão se aplicaNão se aplicaNão se aplicaNão se aplicaFora ponta",Mercado_Receita!$L$2:$L$345)+SUMIF(Mercado_Receita!$S$2:$S$345,"44593B3Convencional pré-pagamentoNão se aplicaNão se aplicaNão se aplicaNão se aplicaIntermediário",Mercado_Receita!$L$2:$L$345)+SUMIF(Mercado_Receita!$S$2:$S$345,"44593B3Convencional pré-pagamentoNão se aplicaNão se aplicaNão se aplicaNão se aplicaNão se aplica",Mercado_Receita!$L$2:$L$345)</f>
        <v>0</v>
      </c>
      <c r="O46" s="13">
        <f>SUMIF(Mercado_Receita!$S$2:$S$345,"44621B3Convencional pré-pagamentoNão se aplicaNão se aplicaNão se aplicaNão se aplicaPonta",Mercado_Receita!$L$2:$L$345)+SUMIF(Mercado_Receita!$S$2:$S$345,"44621B3Convencional pré-pagamentoNão se aplicaNão se aplicaNão se aplicaNão se aplicaFora ponta",Mercado_Receita!$L$2:$L$345)+SUMIF(Mercado_Receita!$S$2:$S$345,"44621B3Convencional pré-pagamentoNão se aplicaNão se aplicaNão se aplicaNão se aplicaIntermediário",Mercado_Receita!$L$2:$L$345)+SUMIF(Mercado_Receita!$S$2:$S$345,"44621B3Convencional pré-pagamentoNão se aplicaNão se aplicaNão se aplicaNão se aplicaNão se aplica",Mercado_Receita!$L$2:$L$345)</f>
        <v>0</v>
      </c>
      <c r="P46" s="13">
        <f>SUMIF(Mercado_Receita!$S$2:$S$345,"44652B3Convencional pré-pagamentoNão se aplicaNão se aplicaNão se aplicaNão se aplicaPonta",Mercado_Receita!$L$2:$L$345)+SUMIF(Mercado_Receita!$S$2:$S$345,"44652B3Convencional pré-pagamentoNão se aplicaNão se aplicaNão se aplicaNão se aplicaFora ponta",Mercado_Receita!$L$2:$L$345)+SUMIF(Mercado_Receita!$S$2:$S$345,"44652B3Convencional pré-pagamentoNão se aplicaNão se aplicaNão se aplicaNão se aplicaIntermediário",Mercado_Receita!$L$2:$L$345)+SUMIF(Mercado_Receita!$S$2:$S$345,"44652B3Convencional pré-pagamentoNão se aplicaNão se aplicaNão se aplicaNão se aplicaNão se aplica",Mercado_Receita!$L$2:$L$345)</f>
        <v>0</v>
      </c>
      <c r="Q46" s="13">
        <f>SUMIF(Mercado_Receita!$S$2:$S$345,"44682B3Convencional pré-pagamentoNão se aplicaNão se aplicaNão se aplicaNão se aplicaPonta",Mercado_Receita!$L$2:$L$345)+SUMIF(Mercado_Receita!$S$2:$S$345,"44682B3Convencional pré-pagamentoNão se aplicaNão se aplicaNão se aplicaNão se aplicaFora ponta",Mercado_Receita!$L$2:$L$345)+SUMIF(Mercado_Receita!$S$2:$S$345,"44682B3Convencional pré-pagamentoNão se aplicaNão se aplicaNão se aplicaNão se aplicaIntermediário",Mercado_Receita!$L$2:$L$345)+SUMIF(Mercado_Receita!$S$2:$S$345,"44682B3Convencional pré-pagamentoNão se aplicaNão se aplicaNão se aplicaNão se aplicaNão se aplica",Mercado_Receita!$L$2:$L$345)</f>
        <v>0</v>
      </c>
      <c r="R46" s="13">
        <f>SUMIF(Mercado_Receita!$S$2:$S$345,"44713B3Convencional pré-pagamentoNão se aplicaNão se aplicaNão se aplicaNão se aplicaPonta",Mercado_Receita!$L$2:$L$345)+SUMIF(Mercado_Receita!$S$2:$S$345,"44713B3Convencional pré-pagamentoNão se aplicaNão se aplicaNão se aplicaNão se aplicaFora ponta",Mercado_Receita!$L$2:$L$345)+SUMIF(Mercado_Receita!$S$2:$S$345,"44713B3Convencional pré-pagamentoNão se aplicaNão se aplicaNão se aplicaNão se aplicaIntermediário",Mercado_Receita!$L$2:$L$345)+SUMIF(Mercado_Receita!$S$2:$S$345,"44713B3Convencional pré-pagamentoNão se aplicaNão se aplicaNão se aplicaNão se aplicaNão se aplica",Mercado_Receita!$L$2:$L$345)</f>
        <v>0</v>
      </c>
      <c r="S46" s="13">
        <f>SUMIF(Mercado_Receita!$S$2:$S$345,"44743B3Convencional pré-pagamentoNão se aplicaNão se aplicaNão se aplicaNão se aplicaPonta",Mercado_Receita!$L$2:$L$345)+SUMIF(Mercado_Receita!$S$2:$S$345,"44743B3Convencional pré-pagamentoNão se aplicaNão se aplicaNão se aplicaNão se aplicaFora ponta",Mercado_Receita!$L$2:$L$345)+SUMIF(Mercado_Receita!$S$2:$S$345,"44743B3Convencional pré-pagamentoNão se aplicaNão se aplicaNão se aplicaNão se aplicaIntermediário",Mercado_Receita!$L$2:$L$345)+SUMIF(Mercado_Receita!$S$2:$S$345,"44743B3Convencional pré-pagamentoNão se aplicaNão se aplicaNão se aplicaNão se aplicaNão se aplica",Mercado_Receita!$L$2:$L$345)</f>
        <v>0</v>
      </c>
      <c r="T46" s="13">
        <f>SUMIF(Mercado_Receita!$S$2:$S$345,"44774B3Convencional pré-pagamentoNão se aplicaNão se aplicaNão se aplicaNão se aplicaPonta",Mercado_Receita!$L$2:$L$345)+SUMIF(Mercado_Receita!$S$2:$S$345,"44774B3Convencional pré-pagamentoNão se aplicaNão se aplicaNão se aplicaNão se aplicaFora ponta",Mercado_Receita!$L$2:$L$345)+SUMIF(Mercado_Receita!$S$2:$S$345,"44774B3Convencional pré-pagamentoNão se aplicaNão se aplicaNão se aplicaNão se aplicaIntermediário",Mercado_Receita!$L$2:$L$345)+SUMIF(Mercado_Receita!$S$2:$S$345,"44774B3Convencional pré-pagamentoNão se aplicaNão se aplicaNão se aplicaNão se aplicaNão se aplica",Mercado_Receita!$L$2:$L$345)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4" t="s">
        <v>43</v>
      </c>
      <c r="B47" s="74" t="s">
        <v>23</v>
      </c>
      <c r="C47" s="74" t="s">
        <v>44</v>
      </c>
      <c r="D47" s="12" t="s">
        <v>45</v>
      </c>
      <c r="E47" s="12" t="s">
        <v>25</v>
      </c>
      <c r="F47" s="12" t="s">
        <v>25</v>
      </c>
      <c r="G47" s="13" t="s">
        <v>77</v>
      </c>
      <c r="H47" s="13" t="s">
        <v>70</v>
      </c>
      <c r="I47" s="13">
        <f>SUMIF(Mercado_Receita!$S$2:$S$345,"44440B4ConvencionalIluminação públicaIluminação pública – B4aNão se aplicaNão se aplicaPonta",Mercado_Receita!$L$2:$L$345)+SUMIF(Mercado_Receita!$S$2:$S$345,"44440B4ConvencionalIluminação públicaIluminação pública – B4aNão se aplicaNão se aplicaFora ponta",Mercado_Receita!$L$2:$L$345)+SUMIF(Mercado_Receita!$S$2:$S$345,"44440B4ConvencionalIluminação públicaIluminação pública – B4aNão se aplicaNão se aplicaIntermediário",Mercado_Receita!$L$2:$L$345)+SUMIF(Mercado_Receita!$S$2:$S$345,"44440B4ConvencionalIluminação públicaIluminação pública – B4aNão se aplicaNão se aplicaNão se aplica",Mercado_Receita!$L$2:$L$345)</f>
        <v>159.626</v>
      </c>
      <c r="J47" s="13">
        <f>SUMIF(Mercado_Receita!$S$2:$S$345,"44470B4ConvencionalIluminação públicaIluminação pública – B4aNão se aplicaNão se aplicaPonta",Mercado_Receita!$L$2:$L$345)+SUMIF(Mercado_Receita!$S$2:$S$345,"44470B4ConvencionalIluminação públicaIluminação pública – B4aNão se aplicaNão se aplicaFora ponta",Mercado_Receita!$L$2:$L$345)+SUMIF(Mercado_Receita!$S$2:$S$345,"44470B4ConvencionalIluminação públicaIluminação pública – B4aNão se aplicaNão se aplicaIntermediário",Mercado_Receita!$L$2:$L$345)+SUMIF(Mercado_Receita!$S$2:$S$345,"44470B4ConvencionalIluminação públicaIluminação pública – B4aNão se aplicaNão se aplicaNão se aplica",Mercado_Receita!$L$2:$L$345)</f>
        <v>166.33199999999999</v>
      </c>
      <c r="K47" s="13">
        <f>SUMIF(Mercado_Receita!$S$2:$S$345,"44501B4ConvencionalIluminação públicaIluminação pública – B4aNão se aplicaNão se aplicaPonta",Mercado_Receita!$L$2:$L$345)+SUMIF(Mercado_Receita!$S$2:$S$345,"44501B4ConvencionalIluminação públicaIluminação pública – B4aNão se aplicaNão se aplicaFora ponta",Mercado_Receita!$L$2:$L$345)+SUMIF(Mercado_Receita!$S$2:$S$345,"44501B4ConvencionalIluminação públicaIluminação pública – B4aNão se aplicaNão se aplicaIntermediário",Mercado_Receita!$L$2:$L$345)+SUMIF(Mercado_Receita!$S$2:$S$345,"44501B4ConvencionalIluminação públicaIluminação pública – B4aNão se aplicaNão se aplicaNão se aplica",Mercado_Receita!$L$2:$L$345)</f>
        <v>161.327</v>
      </c>
      <c r="L47" s="13">
        <f>SUMIF(Mercado_Receita!$S$2:$S$345,"44531B4ConvencionalIluminação públicaIluminação pública – B4aNão se aplicaNão se aplicaPonta",Mercado_Receita!$L$2:$L$345)+SUMIF(Mercado_Receita!$S$2:$S$345,"44531B4ConvencionalIluminação públicaIluminação pública – B4aNão se aplicaNão se aplicaFora ponta",Mercado_Receita!$L$2:$L$345)+SUMIF(Mercado_Receita!$S$2:$S$345,"44531B4ConvencionalIluminação públicaIluminação pública – B4aNão se aplicaNão se aplicaIntermediário",Mercado_Receita!$L$2:$L$345)+SUMIF(Mercado_Receita!$S$2:$S$345,"44531B4ConvencionalIluminação públicaIluminação pública – B4aNão se aplicaNão se aplicaNão se aplica",Mercado_Receita!$L$2:$L$345)</f>
        <v>165.21700000000001</v>
      </c>
      <c r="M47" s="13">
        <f>SUMIF(Mercado_Receita!$S$2:$S$345,"44562B4ConvencionalIluminação públicaIluminação pública – B4aNão se aplicaNão se aplicaPonta",Mercado_Receita!$L$2:$L$345)+SUMIF(Mercado_Receita!$S$2:$S$345,"44562B4ConvencionalIluminação públicaIluminação pública – B4aNão se aplicaNão se aplicaFora ponta",Mercado_Receita!$L$2:$L$345)+SUMIF(Mercado_Receita!$S$2:$S$345,"44562B4ConvencionalIluminação públicaIluminação pública – B4aNão se aplicaNão se aplicaIntermediário",Mercado_Receita!$L$2:$L$345)+SUMIF(Mercado_Receita!$S$2:$S$345,"44562B4ConvencionalIluminação públicaIluminação pública – B4aNão se aplicaNão se aplicaNão se aplica",Mercado_Receita!$L$2:$L$345)</f>
        <v>167.01499999999999</v>
      </c>
      <c r="N47" s="13">
        <f>SUMIF(Mercado_Receita!$S$2:$S$345,"44593B4ConvencionalIluminação públicaIluminação pública – B4aNão se aplicaNão se aplicaPonta",Mercado_Receita!$L$2:$L$345)+SUMIF(Mercado_Receita!$S$2:$S$345,"44593B4ConvencionalIluminação públicaIluminação pública – B4aNão se aplicaNão se aplicaFora ponta",Mercado_Receita!$L$2:$L$345)+SUMIF(Mercado_Receita!$S$2:$S$345,"44593B4ConvencionalIluminação públicaIluminação pública – B4aNão se aplicaNão se aplicaIntermediário",Mercado_Receita!$L$2:$L$345)+SUMIF(Mercado_Receita!$S$2:$S$345,"44593B4ConvencionalIluminação públicaIluminação pública – B4aNão se aplicaNão se aplicaNão se aplica",Mercado_Receita!$L$2:$L$345)</f>
        <v>149.13200000000001</v>
      </c>
      <c r="O47" s="13">
        <f>SUMIF(Mercado_Receita!$S$2:$S$345,"44621B4ConvencionalIluminação públicaIluminação pública – B4aNão se aplicaNão se aplicaPonta",Mercado_Receita!$L$2:$L$345)+SUMIF(Mercado_Receita!$S$2:$S$345,"44621B4ConvencionalIluminação públicaIluminação pública – B4aNão se aplicaNão se aplicaFora ponta",Mercado_Receita!$L$2:$L$345)+SUMIF(Mercado_Receita!$S$2:$S$345,"44621B4ConvencionalIluminação públicaIluminação pública – B4aNão se aplicaNão se aplicaIntermediário",Mercado_Receita!$L$2:$L$345)+SUMIF(Mercado_Receita!$S$2:$S$345,"44621B4ConvencionalIluminação públicaIluminação pública – B4aNão se aplicaNão se aplicaNão se aplica",Mercado_Receita!$L$2:$L$345)</f>
        <v>165.19800000000001</v>
      </c>
      <c r="P47" s="13">
        <f>SUMIF(Mercado_Receita!$S$2:$S$345,"44652B4ConvencionalIluminação públicaIluminação pública – B4aNão se aplicaNão se aplicaPonta",Mercado_Receita!$L$2:$L$345)+SUMIF(Mercado_Receita!$S$2:$S$345,"44652B4ConvencionalIluminação públicaIluminação pública – B4aNão se aplicaNão se aplicaFora ponta",Mercado_Receita!$L$2:$L$345)+SUMIF(Mercado_Receita!$S$2:$S$345,"44652B4ConvencionalIluminação públicaIluminação pública – B4aNão se aplicaNão se aplicaIntermediário",Mercado_Receita!$L$2:$L$345)+SUMIF(Mercado_Receita!$S$2:$S$345,"44652B4ConvencionalIluminação públicaIluminação pública – B4aNão se aplicaNão se aplicaNão se aplica",Mercado_Receita!$L$2:$L$345)</f>
        <v>160.88499999999999</v>
      </c>
      <c r="Q47" s="13">
        <f>SUMIF(Mercado_Receita!$S$2:$S$345,"44682B4ConvencionalIluminação públicaIluminação pública – B4aNão se aplicaNão se aplicaPonta",Mercado_Receita!$L$2:$L$345)+SUMIF(Mercado_Receita!$S$2:$S$345,"44682B4ConvencionalIluminação públicaIluminação pública – B4aNão se aplicaNão se aplicaFora ponta",Mercado_Receita!$L$2:$L$345)+SUMIF(Mercado_Receita!$S$2:$S$345,"44682B4ConvencionalIluminação públicaIluminação pública – B4aNão se aplicaNão se aplicaIntermediário",Mercado_Receita!$L$2:$L$345)+SUMIF(Mercado_Receita!$S$2:$S$345,"44682B4ConvencionalIluminação públicaIluminação pública – B4aNão se aplicaNão se aplicaNão se aplica",Mercado_Receita!$L$2:$L$345)</f>
        <v>166.24799999999999</v>
      </c>
      <c r="R47" s="13">
        <f>SUMIF(Mercado_Receita!$S$2:$S$345,"44713B4ConvencionalIluminação públicaIluminação pública – B4aNão se aplicaNão se aplicaPonta",Mercado_Receita!$L$2:$L$345)+SUMIF(Mercado_Receita!$S$2:$S$345,"44713B4ConvencionalIluminação públicaIluminação pública – B4aNão se aplicaNão se aplicaFora ponta",Mercado_Receita!$L$2:$L$345)+SUMIF(Mercado_Receita!$S$2:$S$345,"44713B4ConvencionalIluminação públicaIluminação pública – B4aNão se aplicaNão se aplicaIntermediário",Mercado_Receita!$L$2:$L$345)+SUMIF(Mercado_Receita!$S$2:$S$345,"44713B4ConvencionalIluminação públicaIluminação pública – B4aNão se aplicaNão se aplicaNão se aplica",Mercado_Receita!$L$2:$L$345)</f>
        <v>160.94499999999999</v>
      </c>
      <c r="S47" s="13">
        <f>SUMIF(Mercado_Receita!$S$2:$S$345,"44743B4ConvencionalIluminação públicaIluminação pública – B4aNão se aplicaNão se aplicaPonta",Mercado_Receita!$L$2:$L$345)+SUMIF(Mercado_Receita!$S$2:$S$345,"44743B4ConvencionalIluminação públicaIluminação pública – B4aNão se aplicaNão se aplicaFora ponta",Mercado_Receita!$L$2:$L$345)+SUMIF(Mercado_Receita!$S$2:$S$345,"44743B4ConvencionalIluminação públicaIluminação pública – B4aNão se aplicaNão se aplicaIntermediário",Mercado_Receita!$L$2:$L$345)+SUMIF(Mercado_Receita!$S$2:$S$345,"44743B4ConvencionalIluminação públicaIluminação pública – B4aNão se aplicaNão se aplicaNão se aplica",Mercado_Receita!$L$2:$L$345)</f>
        <v>165.71299999999999</v>
      </c>
      <c r="T47" s="13">
        <f>SUMIF(Mercado_Receita!$S$2:$S$345,"44774B4ConvencionalIluminação públicaIluminação pública – B4aNão se aplicaNão se aplicaPonta",Mercado_Receita!$L$2:$L$345)+SUMIF(Mercado_Receita!$S$2:$S$345,"44774B4ConvencionalIluminação públicaIluminação pública – B4aNão se aplicaNão se aplicaFora ponta",Mercado_Receita!$L$2:$L$345)+SUMIF(Mercado_Receita!$S$2:$S$345,"44774B4ConvencionalIluminação públicaIluminação pública – B4aNão se aplicaNão se aplicaIntermediário",Mercado_Receita!$L$2:$L$345)+SUMIF(Mercado_Receita!$S$2:$S$345,"44774B4ConvencionalIluminação públicaIluminação pública – B4aNão se aplicaNão se aplicaNão se aplica",Mercado_Receita!$L$2:$L$345)</f>
        <v>167.15199999999999</v>
      </c>
      <c r="U47" s="13">
        <f t="shared" si="0"/>
        <v>1954.79</v>
      </c>
      <c r="V47" s="13"/>
      <c r="W47" s="13"/>
    </row>
    <row r="48" spans="1:23" ht="11.25" customHeight="1" x14ac:dyDescent="0.25">
      <c r="A48" s="75"/>
      <c r="B48" s="75"/>
      <c r="C48" s="75"/>
      <c r="D48" s="13" t="s">
        <v>46</v>
      </c>
      <c r="E48" s="13" t="s">
        <v>25</v>
      </c>
      <c r="F48" s="13" t="s">
        <v>25</v>
      </c>
      <c r="G48" s="13" t="s">
        <v>77</v>
      </c>
      <c r="H48" s="13" t="s">
        <v>70</v>
      </c>
      <c r="I48" s="13">
        <f>SUMIF(Mercado_Receita!$S$2:$S$345,"44440B4ConvencionalIluminação públicaIluminação pública – B4bNão se aplicaNão se aplicaPonta",Mercado_Receita!$L$2:$L$345)+SUMIF(Mercado_Receita!$S$2:$S$345,"44440B4ConvencionalIluminação públicaIluminação pública – B4bNão se aplicaNão se aplicaFora ponta",Mercado_Receita!$L$2:$L$345)+SUMIF(Mercado_Receita!$S$2:$S$345,"44440B4ConvencionalIluminação públicaIluminação pública – B4bNão se aplicaNão se aplicaIntermediário",Mercado_Receita!$L$2:$L$345)+SUMIF(Mercado_Receita!$S$2:$S$345,"44440B4ConvencionalIluminação públicaIluminação pública – B4bNão se aplicaNão se aplicaNão se aplica",Mercado_Receita!$L$2:$L$345)</f>
        <v>1.4530000000000001</v>
      </c>
      <c r="J48" s="13">
        <f>SUMIF(Mercado_Receita!$S$2:$S$345,"44470B4ConvencionalIluminação públicaIluminação pública – B4bNão se aplicaNão se aplicaPonta",Mercado_Receita!$L$2:$L$345)+SUMIF(Mercado_Receita!$S$2:$S$345,"44470B4ConvencionalIluminação públicaIluminação pública – B4bNão se aplicaNão se aplicaFora ponta",Mercado_Receita!$L$2:$L$345)+SUMIF(Mercado_Receita!$S$2:$S$345,"44470B4ConvencionalIluminação públicaIluminação pública – B4bNão se aplicaNão se aplicaIntermediário",Mercado_Receita!$L$2:$L$345)+SUMIF(Mercado_Receita!$S$2:$S$345,"44470B4ConvencionalIluminação públicaIluminação pública – B4bNão se aplicaNão se aplicaNão se aplica",Mercado_Receita!$L$2:$L$345)</f>
        <v>0</v>
      </c>
      <c r="K48" s="13">
        <f>SUMIF(Mercado_Receita!$S$2:$S$345,"44501B4ConvencionalIluminação públicaIluminação pública – B4bNão se aplicaNão se aplicaPonta",Mercado_Receita!$L$2:$L$345)+SUMIF(Mercado_Receita!$S$2:$S$345,"44501B4ConvencionalIluminação públicaIluminação pública – B4bNão se aplicaNão se aplicaFora ponta",Mercado_Receita!$L$2:$L$345)+SUMIF(Mercado_Receita!$S$2:$S$345,"44501B4ConvencionalIluminação públicaIluminação pública – B4bNão se aplicaNão se aplicaIntermediário",Mercado_Receita!$L$2:$L$345)+SUMIF(Mercado_Receita!$S$2:$S$345,"44501B4ConvencionalIluminação públicaIluminação pública – B4bNão se aplicaNão se aplicaNão se aplica",Mercado_Receita!$L$2:$L$345)</f>
        <v>0</v>
      </c>
      <c r="L48" s="13">
        <f>SUMIF(Mercado_Receita!$S$2:$S$345,"44531B4ConvencionalIluminação públicaIluminação pública – B4bNão se aplicaNão se aplicaPonta",Mercado_Receita!$L$2:$L$345)+SUMIF(Mercado_Receita!$S$2:$S$345,"44531B4ConvencionalIluminação públicaIluminação pública – B4bNão se aplicaNão se aplicaFora ponta",Mercado_Receita!$L$2:$L$345)+SUMIF(Mercado_Receita!$S$2:$S$345,"44531B4ConvencionalIluminação públicaIluminação pública – B4bNão se aplicaNão se aplicaIntermediário",Mercado_Receita!$L$2:$L$345)+SUMIF(Mercado_Receita!$S$2:$S$345,"44531B4ConvencionalIluminação públicaIluminação pública – B4bNão se aplicaNão se aplicaNão se aplica",Mercado_Receita!$L$2:$L$345)</f>
        <v>0</v>
      </c>
      <c r="M48" s="13">
        <f>SUMIF(Mercado_Receita!$S$2:$S$345,"44562B4ConvencionalIluminação públicaIluminação pública – B4bNão se aplicaNão se aplicaPonta",Mercado_Receita!$L$2:$L$345)+SUMIF(Mercado_Receita!$S$2:$S$345,"44562B4ConvencionalIluminação públicaIluminação pública – B4bNão se aplicaNão se aplicaFora ponta",Mercado_Receita!$L$2:$L$345)+SUMIF(Mercado_Receita!$S$2:$S$345,"44562B4ConvencionalIluminação públicaIluminação pública – B4bNão se aplicaNão se aplicaIntermediário",Mercado_Receita!$L$2:$L$345)+SUMIF(Mercado_Receita!$S$2:$S$345,"44562B4ConvencionalIluminação públicaIluminação pública – B4bNão se aplicaNão se aplicaNão se aplica",Mercado_Receita!$L$2:$L$345)</f>
        <v>0</v>
      </c>
      <c r="N48" s="13">
        <f>SUMIF(Mercado_Receita!$S$2:$S$345,"44593B4ConvencionalIluminação públicaIluminação pública – B4bNão se aplicaNão se aplicaPonta",Mercado_Receita!$L$2:$L$345)+SUMIF(Mercado_Receita!$S$2:$S$345,"44593B4ConvencionalIluminação públicaIluminação pública – B4bNão se aplicaNão se aplicaFora ponta",Mercado_Receita!$L$2:$L$345)+SUMIF(Mercado_Receita!$S$2:$S$345,"44593B4ConvencionalIluminação públicaIluminação pública – B4bNão se aplicaNão se aplicaIntermediário",Mercado_Receita!$L$2:$L$345)+SUMIF(Mercado_Receita!$S$2:$S$345,"44593B4ConvencionalIluminação públicaIluminação pública – B4bNão se aplicaNão se aplicaNão se aplica",Mercado_Receita!$L$2:$L$345)</f>
        <v>0</v>
      </c>
      <c r="O48" s="13">
        <f>SUMIF(Mercado_Receita!$S$2:$S$345,"44621B4ConvencionalIluminação públicaIluminação pública – B4bNão se aplicaNão se aplicaPonta",Mercado_Receita!$L$2:$L$345)+SUMIF(Mercado_Receita!$S$2:$S$345,"44621B4ConvencionalIluminação públicaIluminação pública – B4bNão se aplicaNão se aplicaFora ponta",Mercado_Receita!$L$2:$L$345)+SUMIF(Mercado_Receita!$S$2:$S$345,"44621B4ConvencionalIluminação públicaIluminação pública – B4bNão se aplicaNão se aplicaIntermediário",Mercado_Receita!$L$2:$L$345)+SUMIF(Mercado_Receita!$S$2:$S$345,"44621B4ConvencionalIluminação públicaIluminação pública – B4bNão se aplicaNão se aplicaNão se aplica",Mercado_Receita!$L$2:$L$345)</f>
        <v>0</v>
      </c>
      <c r="P48" s="13">
        <f>SUMIF(Mercado_Receita!$S$2:$S$345,"44652B4ConvencionalIluminação públicaIluminação pública – B4bNão se aplicaNão se aplicaPonta",Mercado_Receita!$L$2:$L$345)+SUMIF(Mercado_Receita!$S$2:$S$345,"44652B4ConvencionalIluminação públicaIluminação pública – B4bNão se aplicaNão se aplicaFora ponta",Mercado_Receita!$L$2:$L$345)+SUMIF(Mercado_Receita!$S$2:$S$345,"44652B4ConvencionalIluminação públicaIluminação pública – B4bNão se aplicaNão se aplicaIntermediário",Mercado_Receita!$L$2:$L$345)+SUMIF(Mercado_Receita!$S$2:$S$345,"44652B4ConvencionalIluminação públicaIluminação pública – B4bNão se aplicaNão se aplicaNão se aplica",Mercado_Receita!$L$2:$L$345)</f>
        <v>0</v>
      </c>
      <c r="Q48" s="13">
        <f>SUMIF(Mercado_Receita!$S$2:$S$345,"44682B4ConvencionalIluminação públicaIluminação pública – B4bNão se aplicaNão se aplicaPonta",Mercado_Receita!$L$2:$L$345)+SUMIF(Mercado_Receita!$S$2:$S$345,"44682B4ConvencionalIluminação públicaIluminação pública – B4bNão se aplicaNão se aplicaFora ponta",Mercado_Receita!$L$2:$L$345)+SUMIF(Mercado_Receita!$S$2:$S$345,"44682B4ConvencionalIluminação públicaIluminação pública – B4bNão se aplicaNão se aplicaIntermediário",Mercado_Receita!$L$2:$L$345)+SUMIF(Mercado_Receita!$S$2:$S$345,"44682B4ConvencionalIluminação públicaIluminação pública – B4bNão se aplicaNão se aplicaNão se aplica",Mercado_Receita!$L$2:$L$345)</f>
        <v>0</v>
      </c>
      <c r="R48" s="13">
        <f>SUMIF(Mercado_Receita!$S$2:$S$345,"44713B4ConvencionalIluminação públicaIluminação pública – B4bNão se aplicaNão se aplicaPonta",Mercado_Receita!$L$2:$L$345)+SUMIF(Mercado_Receita!$S$2:$S$345,"44713B4ConvencionalIluminação públicaIluminação pública – B4bNão se aplicaNão se aplicaFora ponta",Mercado_Receita!$L$2:$L$345)+SUMIF(Mercado_Receita!$S$2:$S$345,"44713B4ConvencionalIluminação públicaIluminação pública – B4bNão se aplicaNão se aplicaIntermediário",Mercado_Receita!$L$2:$L$345)+SUMIF(Mercado_Receita!$S$2:$S$345,"44713B4ConvencionalIluminação públicaIluminação pública – B4bNão se aplicaNão se aplicaNão se aplica",Mercado_Receita!$L$2:$L$345)</f>
        <v>0</v>
      </c>
      <c r="S48" s="13">
        <f>SUMIF(Mercado_Receita!$S$2:$S$345,"44743B4ConvencionalIluminação públicaIluminação pública – B4bNão se aplicaNão se aplicaPonta",Mercado_Receita!$L$2:$L$345)+SUMIF(Mercado_Receita!$S$2:$S$345,"44743B4ConvencionalIluminação públicaIluminação pública – B4bNão se aplicaNão se aplicaFora ponta",Mercado_Receita!$L$2:$L$345)+SUMIF(Mercado_Receita!$S$2:$S$345,"44743B4ConvencionalIluminação públicaIluminação pública – B4bNão se aplicaNão se aplicaIntermediário",Mercado_Receita!$L$2:$L$345)+SUMIF(Mercado_Receita!$S$2:$S$345,"44743B4ConvencionalIluminação públicaIluminação pública – B4bNão se aplicaNão se aplicaNão se aplica",Mercado_Receita!$L$2:$L$345)</f>
        <v>0</v>
      </c>
      <c r="T48" s="13">
        <f>SUMIF(Mercado_Receita!$S$2:$S$345,"44774B4ConvencionalIluminação públicaIluminação pública – B4bNão se aplicaNão se aplicaPonta",Mercado_Receita!$L$2:$L$345)+SUMIF(Mercado_Receita!$S$2:$S$345,"44774B4ConvencionalIluminação públicaIluminação pública – B4bNão se aplicaNão se aplicaFora ponta",Mercado_Receita!$L$2:$L$345)+SUMIF(Mercado_Receita!$S$2:$S$345,"44774B4ConvencionalIluminação públicaIluminação pública – B4bNão se aplicaNão se aplicaIntermediário",Mercado_Receita!$L$2:$L$345)+SUMIF(Mercado_Receita!$S$2:$S$345,"44774B4ConvencionalIluminação públicaIluminação pública – B4bNão se aplicaNão se aplicaNão se aplica",Mercado_Receita!$L$2:$L$345)</f>
        <v>0</v>
      </c>
      <c r="U48" s="13">
        <f t="shared" si="0"/>
        <v>1.4530000000000001</v>
      </c>
      <c r="V48" s="13"/>
      <c r="W48" s="13"/>
    </row>
    <row r="49" spans="1:23" ht="11.25" customHeight="1" x14ac:dyDescent="0.25">
      <c r="A49" s="76" t="s">
        <v>350</v>
      </c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A22A-9A6D-4FC2-848E-FEDA1E2A80D0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10" width="5.85546875" style="9" bestFit="1" customWidth="1"/>
    <col min="11" max="12" width="6.140625" style="9" bestFit="1" customWidth="1"/>
    <col min="13" max="13" width="7" style="9" bestFit="1" customWidth="1"/>
    <col min="14" max="14" width="5.7109375" style="9" bestFit="1" customWidth="1"/>
    <col min="15" max="15" width="6.42578125" style="9" bestFit="1" customWidth="1"/>
    <col min="16" max="16" width="5.85546875" style="9" bestFit="1" customWidth="1"/>
    <col min="17" max="17" width="6.140625" style="9" bestFit="1" customWidth="1"/>
    <col min="18" max="19" width="5.7109375" style="9" bestFit="1" customWidth="1"/>
    <col min="20" max="20" width="6.14062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60</v>
      </c>
      <c r="B1" s="10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10" t="s">
        <v>67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68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4" t="s">
        <v>35</v>
      </c>
      <c r="B2" s="74" t="s">
        <v>69</v>
      </c>
      <c r="C2" s="74" t="s">
        <v>25</v>
      </c>
      <c r="D2" s="74" t="s">
        <v>25</v>
      </c>
      <c r="E2" s="74" t="s">
        <v>25</v>
      </c>
      <c r="F2" s="74" t="s">
        <v>25</v>
      </c>
      <c r="G2" s="13" t="s">
        <v>71</v>
      </c>
      <c r="H2" s="13" t="s">
        <v>70</v>
      </c>
      <c r="I2" s="13">
        <f>SUMIF(Mercado_Receita!$T$2:$T$345,"44440A4Energia horáriaNão se aplicaNão se aplicaNão se aplicaNão se aplicaPonta",Mercado_Receita!$N$2:$N$345)</f>
        <v>18.238000000000003</v>
      </c>
      <c r="J2" s="13">
        <f>SUMIF(Mercado_Receita!$T$2:$T$345,"44470A4Energia horáriaNão se aplicaNão se aplicaNão se aplicaNão se aplicaPonta",Mercado_Receita!$N$2:$N$345)</f>
        <v>17.837999999999997</v>
      </c>
      <c r="K2" s="13">
        <f>SUMIF(Mercado_Receita!$T$2:$T$345,"44501A4Energia horáriaNão se aplicaNão se aplicaNão se aplicaNão se aplicaPonta",Mercado_Receita!$N$2:$N$345)</f>
        <v>19.646999999999998</v>
      </c>
      <c r="L2" s="13">
        <f>SUMIF(Mercado_Receita!$T$2:$T$345,"44531A4Energia horáriaNão se aplicaNão se aplicaNão se aplicaNão se aplicaPonta",Mercado_Receita!$N$2:$N$345)</f>
        <v>19.835000000000001</v>
      </c>
      <c r="M2" s="13">
        <f>SUMIF(Mercado_Receita!$T$2:$T$345,"44562A4Energia horáriaNão se aplicaNão se aplicaNão se aplicaNão se aplicaPonta",Mercado_Receita!$N$2:$N$345)</f>
        <v>21.28</v>
      </c>
      <c r="N2" s="13">
        <f>SUMIF(Mercado_Receita!$T$2:$T$345,"44593A4Energia horáriaNão se aplicaNão se aplicaNão se aplicaNão se aplicaPonta",Mercado_Receita!$N$2:$N$345)</f>
        <v>21.094999999999999</v>
      </c>
      <c r="O2" s="13">
        <f>SUMIF(Mercado_Receita!$T$2:$T$345,"44621A4Energia horáriaNão se aplicaNão se aplicaNão se aplicaNão se aplicaPonta",Mercado_Receita!$N$2:$N$345)</f>
        <v>20.808</v>
      </c>
      <c r="P2" s="13">
        <f>SUMIF(Mercado_Receita!$T$2:$T$345,"44652A4Energia horáriaNão se aplicaNão se aplicaNão se aplicaNão se aplicaPonta",Mercado_Receita!$N$2:$N$345)</f>
        <v>17.122</v>
      </c>
      <c r="Q2" s="13">
        <f>SUMIF(Mercado_Receita!$T$2:$T$345,"44682A4Energia horáriaNão se aplicaNão se aplicaNão se aplicaNão se aplicaPonta",Mercado_Receita!$N$2:$N$345)</f>
        <v>16.454000000000001</v>
      </c>
      <c r="R2" s="13">
        <f>SUMIF(Mercado_Receita!$T$2:$T$345,"44713A4Energia horáriaNão se aplicaNão se aplicaNão se aplicaNão se aplicaPonta",Mercado_Receita!$N$2:$N$345)</f>
        <v>16.905000000000001</v>
      </c>
      <c r="S2" s="13">
        <f>SUMIF(Mercado_Receita!$T$2:$T$345,"44743A4Energia horáriaNão se aplicaNão se aplicaNão se aplicaNão se aplicaPonta",Mercado_Receita!$N$2:$N$345)</f>
        <v>22.428999999999998</v>
      </c>
      <c r="T2" s="13">
        <f>SUMIF(Mercado_Receita!$T$2:$T$345,"44774A4Energia horáriaNão se aplicaNão se aplicaNão se aplicaNão se aplicaPonta",Mercado_Receita!$N$2:$N$345)</f>
        <v>20.648</v>
      </c>
      <c r="U2" s="13">
        <f t="shared" ref="U2:U38" si="0">SUM(I2:T2)</f>
        <v>232.29900000000001</v>
      </c>
      <c r="V2" s="13"/>
      <c r="W2" s="13"/>
    </row>
    <row r="3" spans="1:30" ht="11.25" customHeight="1" x14ac:dyDescent="0.25">
      <c r="A3" s="75"/>
      <c r="B3" s="75"/>
      <c r="C3" s="75"/>
      <c r="D3" s="75"/>
      <c r="E3" s="75"/>
      <c r="F3" s="75"/>
      <c r="G3" s="13" t="s">
        <v>72</v>
      </c>
      <c r="H3" s="13" t="s">
        <v>70</v>
      </c>
      <c r="I3" s="13">
        <f>SUMIF(Mercado_Receita!$T$2:$T$345,"44440A4Energia horáriaNão se aplicaNão se aplicaNão se aplicaNão se aplicaFora ponta",Mercado_Receita!$N$2:$N$345)</f>
        <v>630.84799999999996</v>
      </c>
      <c r="J3" s="13">
        <f>SUMIF(Mercado_Receita!$T$2:$T$345,"44470A4Energia horáriaNão se aplicaNão se aplicaNão se aplicaNão se aplicaFora ponta",Mercado_Receita!$N$2:$N$345)</f>
        <v>627.05200000000002</v>
      </c>
      <c r="K3" s="13">
        <f>SUMIF(Mercado_Receita!$T$2:$T$345,"44501A4Energia horáriaNão se aplicaNão se aplicaNão se aplicaNão se aplicaFora ponta",Mercado_Receita!$N$2:$N$345)</f>
        <v>745.37600000000009</v>
      </c>
      <c r="L3" s="13">
        <f>SUMIF(Mercado_Receita!$T$2:$T$345,"44531A4Energia horáriaNão se aplicaNão se aplicaNão se aplicaNão se aplicaFora ponta",Mercado_Receita!$N$2:$N$345)</f>
        <v>606.38099999999997</v>
      </c>
      <c r="M3" s="13">
        <f>SUMIF(Mercado_Receita!$T$2:$T$345,"44562A4Energia horáriaNão se aplicaNão se aplicaNão se aplicaNão se aplicaFora ponta",Mercado_Receita!$N$2:$N$345)</f>
        <v>765.279</v>
      </c>
      <c r="N3" s="13">
        <f>SUMIF(Mercado_Receita!$T$2:$T$345,"44593A4Energia horáriaNão se aplicaNão se aplicaNão se aplicaNão se aplicaFora ponta",Mercado_Receita!$N$2:$N$345)</f>
        <v>605.12700000000007</v>
      </c>
      <c r="O3" s="13">
        <f>SUMIF(Mercado_Receita!$T$2:$T$345,"44621A4Energia horáriaNão se aplicaNão se aplicaNão se aplicaNão se aplicaFora ponta",Mercado_Receita!$N$2:$N$345)</f>
        <v>748.67399999999998</v>
      </c>
      <c r="P3" s="13">
        <f>SUMIF(Mercado_Receita!$T$2:$T$345,"44652A4Energia horáriaNão se aplicaNão se aplicaNão se aplicaNão se aplicaFora ponta",Mercado_Receita!$N$2:$N$345)</f>
        <v>565.41300000000001</v>
      </c>
      <c r="Q3" s="13">
        <f>SUMIF(Mercado_Receita!$T$2:$T$345,"44682A4Energia horáriaNão se aplicaNão se aplicaNão se aplicaNão se aplicaFora ponta",Mercado_Receita!$N$2:$N$345)</f>
        <v>549.67999999999995</v>
      </c>
      <c r="R3" s="13">
        <f>SUMIF(Mercado_Receita!$T$2:$T$345,"44713A4Energia horáriaNão se aplicaNão se aplicaNão se aplicaNão se aplicaFora ponta",Mercado_Receita!$N$2:$N$345)</f>
        <v>516.79300000000001</v>
      </c>
      <c r="S3" s="13">
        <f>SUMIF(Mercado_Receita!$T$2:$T$345,"44743A4Energia horáriaNão se aplicaNão se aplicaNão se aplicaNão se aplicaFora ponta",Mercado_Receita!$N$2:$N$345)</f>
        <v>578.23099999999999</v>
      </c>
      <c r="T3" s="13">
        <f>SUMIF(Mercado_Receita!$T$2:$T$345,"44774A4Energia horáriaNão se aplicaNão se aplicaNão se aplicaNão se aplicaFora ponta",Mercado_Receita!$N$2:$N$345)</f>
        <v>643.70299999999997</v>
      </c>
      <c r="U3" s="13">
        <f t="shared" si="0"/>
        <v>7582.5569999999989</v>
      </c>
      <c r="V3" s="13"/>
      <c r="W3" s="13"/>
    </row>
    <row r="4" spans="1:30" ht="11.25" customHeight="1" x14ac:dyDescent="0.25">
      <c r="A4" s="74" t="s">
        <v>22</v>
      </c>
      <c r="B4" s="74" t="s">
        <v>69</v>
      </c>
      <c r="C4" s="74" t="s">
        <v>24</v>
      </c>
      <c r="D4" s="74" t="s">
        <v>24</v>
      </c>
      <c r="E4" s="74" t="s">
        <v>25</v>
      </c>
      <c r="F4" s="74" t="s">
        <v>25</v>
      </c>
      <c r="G4" s="13" t="s">
        <v>71</v>
      </c>
      <c r="H4" s="13" t="s">
        <v>70</v>
      </c>
      <c r="I4" s="13">
        <f>SUMIF(Mercado_Receita!$T$2:$T$345,"44440B1Energia horáriaResidencialResidencialNão se aplicaNão se aplicaPonta",Mercado_Receita!$N$2:$N$345)</f>
        <v>0</v>
      </c>
      <c r="J4" s="13">
        <f>SUMIF(Mercado_Receita!$T$2:$T$345,"44470B1Energia horáriaResidencialResidencialNão se aplicaNão se aplicaPonta",Mercado_Receita!$N$2:$N$345)</f>
        <v>0</v>
      </c>
      <c r="K4" s="13">
        <f>SUMIF(Mercado_Receita!$T$2:$T$345,"44501B1Energia horáriaResidencialResidencialNão se aplicaNão se aplicaPonta",Mercado_Receita!$N$2:$N$345)</f>
        <v>0</v>
      </c>
      <c r="L4" s="13">
        <f>SUMIF(Mercado_Receita!$T$2:$T$345,"44531B1Energia horáriaResidencialResidencialNão se aplicaNão se aplicaPonta",Mercado_Receita!$N$2:$N$345)</f>
        <v>0</v>
      </c>
      <c r="M4" s="13">
        <f>SUMIF(Mercado_Receita!$T$2:$T$345,"44562B1Energia horáriaResidencialResidencialNão se aplicaNão se aplicaPonta",Mercado_Receita!$N$2:$N$345)</f>
        <v>0</v>
      </c>
      <c r="N4" s="13">
        <f>SUMIF(Mercado_Receita!$T$2:$T$345,"44593B1Energia horáriaResidencialResidencialNão se aplicaNão se aplicaPonta",Mercado_Receita!$N$2:$N$345)</f>
        <v>0</v>
      </c>
      <c r="O4" s="13">
        <f>SUMIF(Mercado_Receita!$T$2:$T$345,"44621B1Energia horáriaResidencialResidencialNão se aplicaNão se aplicaPonta",Mercado_Receita!$N$2:$N$345)</f>
        <v>0</v>
      </c>
      <c r="P4" s="13">
        <f>SUMIF(Mercado_Receita!$T$2:$T$345,"44652B1Energia horáriaResidencialResidencialNão se aplicaNão se aplicaPonta",Mercado_Receita!$N$2:$N$345)</f>
        <v>0</v>
      </c>
      <c r="Q4" s="13">
        <f>SUMIF(Mercado_Receita!$T$2:$T$345,"44682B1Energia horáriaResidencialResidencialNão se aplicaNão se aplicaPonta",Mercado_Receita!$N$2:$N$345)</f>
        <v>0</v>
      </c>
      <c r="R4" s="13">
        <f>SUMIF(Mercado_Receita!$T$2:$T$345,"44713B1Energia horáriaResidencialResidencialNão se aplicaNão se aplicaPonta",Mercado_Receita!$N$2:$N$345)</f>
        <v>0</v>
      </c>
      <c r="S4" s="13">
        <f>SUMIF(Mercado_Receita!$T$2:$T$345,"44743B1Energia horáriaResidencialResidencialNão se aplicaNão se aplicaPonta",Mercado_Receita!$N$2:$N$345)</f>
        <v>0</v>
      </c>
      <c r="T4" s="13">
        <f>SUMIF(Mercado_Receita!$T$2:$T$345,"44774B1Energia horáriaResidencialResidencialNão se aplicaNão se aplicaPonta",Mercado_Receita!$N$2:$N$345)</f>
        <v>0</v>
      </c>
      <c r="U4" s="13">
        <f t="shared" si="0"/>
        <v>0</v>
      </c>
      <c r="V4" s="13"/>
      <c r="W4" s="13"/>
    </row>
    <row r="5" spans="1:30" ht="11.25" customHeight="1" x14ac:dyDescent="0.25">
      <c r="A5" s="75"/>
      <c r="B5" s="75"/>
      <c r="C5" s="75"/>
      <c r="D5" s="75"/>
      <c r="E5" s="75"/>
      <c r="F5" s="75"/>
      <c r="G5" s="13" t="s">
        <v>83</v>
      </c>
      <c r="H5" s="13" t="s">
        <v>70</v>
      </c>
      <c r="I5" s="13">
        <f>SUMIF(Mercado_Receita!$T$2:$T$345,"44440B1Energia horáriaResidencialResidencialNão se aplicaNão se aplicaIntermediário",Mercado_Receita!$N$2:$N$345)</f>
        <v>0</v>
      </c>
      <c r="J5" s="13">
        <f>SUMIF(Mercado_Receita!$T$2:$T$345,"44470B1Energia horáriaResidencialResidencialNão se aplicaNão se aplicaIntermediário",Mercado_Receita!$N$2:$N$345)</f>
        <v>0</v>
      </c>
      <c r="K5" s="13">
        <f>SUMIF(Mercado_Receita!$T$2:$T$345,"44501B1Energia horáriaResidencialResidencialNão se aplicaNão se aplicaIntermediário",Mercado_Receita!$N$2:$N$345)</f>
        <v>0</v>
      </c>
      <c r="L5" s="13">
        <f>SUMIF(Mercado_Receita!$T$2:$T$345,"44531B1Energia horáriaResidencialResidencialNão se aplicaNão se aplicaIntermediário",Mercado_Receita!$N$2:$N$345)</f>
        <v>0</v>
      </c>
      <c r="M5" s="13">
        <f>SUMIF(Mercado_Receita!$T$2:$T$345,"44562B1Energia horáriaResidencialResidencialNão se aplicaNão se aplicaIntermediário",Mercado_Receita!$N$2:$N$345)</f>
        <v>0</v>
      </c>
      <c r="N5" s="13">
        <f>SUMIF(Mercado_Receita!$T$2:$T$345,"44593B1Energia horáriaResidencialResidencialNão se aplicaNão se aplicaIntermediário",Mercado_Receita!$N$2:$N$345)</f>
        <v>0</v>
      </c>
      <c r="O5" s="13">
        <f>SUMIF(Mercado_Receita!$T$2:$T$345,"44621B1Energia horáriaResidencialResidencialNão se aplicaNão se aplicaIntermediário",Mercado_Receita!$N$2:$N$345)</f>
        <v>0</v>
      </c>
      <c r="P5" s="13">
        <f>SUMIF(Mercado_Receita!$T$2:$T$345,"44652B1Energia horáriaResidencialResidencialNão se aplicaNão se aplicaIntermediário",Mercado_Receita!$N$2:$N$345)</f>
        <v>0</v>
      </c>
      <c r="Q5" s="13">
        <f>SUMIF(Mercado_Receita!$T$2:$T$345,"44682B1Energia horáriaResidencialResidencialNão se aplicaNão se aplicaIntermediário",Mercado_Receita!$N$2:$N$345)</f>
        <v>0</v>
      </c>
      <c r="R5" s="13">
        <f>SUMIF(Mercado_Receita!$T$2:$T$345,"44713B1Energia horáriaResidencialResidencialNão se aplicaNão se aplicaIntermediário",Mercado_Receita!$N$2:$N$345)</f>
        <v>0</v>
      </c>
      <c r="S5" s="13">
        <f>SUMIF(Mercado_Receita!$T$2:$T$345,"44743B1Energia horáriaResidencialResidencialNão se aplicaNão se aplicaIntermediário",Mercado_Receita!$N$2:$N$345)</f>
        <v>0</v>
      </c>
      <c r="T5" s="13">
        <f>SUMIF(Mercado_Receita!$T$2:$T$345,"44774B1Energia horáriaResidencialResidencialNão se aplicaNão se aplicaIntermediário",Mercado_Receita!$N$2:$N$345)</f>
        <v>0</v>
      </c>
      <c r="U5" s="13">
        <f t="shared" si="0"/>
        <v>0</v>
      </c>
      <c r="V5" s="13"/>
      <c r="W5" s="13"/>
    </row>
    <row r="6" spans="1:30" ht="11.25" customHeight="1" x14ac:dyDescent="0.25">
      <c r="A6" s="75"/>
      <c r="B6" s="75"/>
      <c r="C6" s="75"/>
      <c r="D6" s="75"/>
      <c r="E6" s="75"/>
      <c r="F6" s="75"/>
      <c r="G6" s="13" t="s">
        <v>72</v>
      </c>
      <c r="H6" s="13" t="s">
        <v>70</v>
      </c>
      <c r="I6" s="13">
        <f>SUMIF(Mercado_Receita!$T$2:$T$345,"44440B1Energia horáriaResidencialResidencialNão se aplicaNão se aplicaFora ponta",Mercado_Receita!$N$2:$N$345)</f>
        <v>0</v>
      </c>
      <c r="J6" s="13">
        <f>SUMIF(Mercado_Receita!$T$2:$T$345,"44470B1Energia horáriaResidencialResidencialNão se aplicaNão se aplicaFora ponta",Mercado_Receita!$N$2:$N$345)</f>
        <v>0</v>
      </c>
      <c r="K6" s="13">
        <f>SUMIF(Mercado_Receita!$T$2:$T$345,"44501B1Energia horáriaResidencialResidencialNão se aplicaNão se aplicaFora ponta",Mercado_Receita!$N$2:$N$345)</f>
        <v>0</v>
      </c>
      <c r="L6" s="13">
        <f>SUMIF(Mercado_Receita!$T$2:$T$345,"44531B1Energia horáriaResidencialResidencialNão se aplicaNão se aplicaFora ponta",Mercado_Receita!$N$2:$N$345)</f>
        <v>0</v>
      </c>
      <c r="M6" s="13">
        <f>SUMIF(Mercado_Receita!$T$2:$T$345,"44562B1Energia horáriaResidencialResidencialNão se aplicaNão se aplicaFora ponta",Mercado_Receita!$N$2:$N$345)</f>
        <v>0</v>
      </c>
      <c r="N6" s="13">
        <f>SUMIF(Mercado_Receita!$T$2:$T$345,"44593B1Energia horáriaResidencialResidencialNão se aplicaNão se aplicaFora ponta",Mercado_Receita!$N$2:$N$345)</f>
        <v>0</v>
      </c>
      <c r="O6" s="13">
        <f>SUMIF(Mercado_Receita!$T$2:$T$345,"44621B1Energia horáriaResidencialResidencialNão se aplicaNão se aplicaFora ponta",Mercado_Receita!$N$2:$N$345)</f>
        <v>0</v>
      </c>
      <c r="P6" s="13">
        <f>SUMIF(Mercado_Receita!$T$2:$T$345,"44652B1Energia horáriaResidencialResidencialNão se aplicaNão se aplicaFora ponta",Mercado_Receita!$N$2:$N$345)</f>
        <v>0</v>
      </c>
      <c r="Q6" s="13">
        <f>SUMIF(Mercado_Receita!$T$2:$T$345,"44682B1Energia horáriaResidencialResidencialNão se aplicaNão se aplicaFora ponta",Mercado_Receita!$N$2:$N$345)</f>
        <v>0</v>
      </c>
      <c r="R6" s="13">
        <f>SUMIF(Mercado_Receita!$T$2:$T$345,"44713B1Energia horáriaResidencialResidencialNão se aplicaNão se aplicaFora ponta",Mercado_Receita!$N$2:$N$345)</f>
        <v>0</v>
      </c>
      <c r="S6" s="13">
        <f>SUMIF(Mercado_Receita!$T$2:$T$345,"44743B1Energia horáriaResidencialResidencialNão se aplicaNão se aplicaFora ponta",Mercado_Receita!$N$2:$N$345)</f>
        <v>0</v>
      </c>
      <c r="T6" s="13">
        <f>SUMIF(Mercado_Receita!$T$2:$T$345,"44774B1Energia horáriaResidencialResidencialNão se aplicaNão se aplicaFora ponta",Mercado_Receita!$N$2:$N$345)</f>
        <v>0</v>
      </c>
      <c r="U6" s="13">
        <f t="shared" si="0"/>
        <v>0</v>
      </c>
      <c r="V6" s="13"/>
      <c r="W6" s="13"/>
    </row>
    <row r="7" spans="1:30" ht="11.25" customHeight="1" x14ac:dyDescent="0.25">
      <c r="A7" s="75"/>
      <c r="B7" s="74" t="s">
        <v>84</v>
      </c>
      <c r="C7" s="74" t="s">
        <v>24</v>
      </c>
      <c r="D7" s="12" t="s">
        <v>24</v>
      </c>
      <c r="E7" s="12" t="s">
        <v>25</v>
      </c>
      <c r="F7" s="12" t="s">
        <v>25</v>
      </c>
      <c r="G7" s="13" t="s">
        <v>77</v>
      </c>
      <c r="H7" s="13" t="s">
        <v>70</v>
      </c>
      <c r="I7" s="13">
        <f>SUMIF(Mercado_Receita!$T$2:$T$345,"44440B1Energia convencionalResidencialResidencialNão se aplicaNão se aplicaNão se aplica",Mercado_Receita!$N$2:$N$345)</f>
        <v>828.11400000000003</v>
      </c>
      <c r="J7" s="13">
        <f>SUMIF(Mercado_Receita!$T$2:$T$345,"44470B1Energia convencionalResidencialResidencialNão se aplicaNão se aplicaNão se aplica",Mercado_Receita!$N$2:$N$345)</f>
        <v>713.26400000000001</v>
      </c>
      <c r="K7" s="13">
        <f>SUMIF(Mercado_Receita!$T$2:$T$345,"44501B1Energia convencionalResidencialResidencialNão se aplicaNão se aplicaNão se aplica",Mercado_Receita!$N$2:$N$345)</f>
        <v>811.76600000000008</v>
      </c>
      <c r="L7" s="13">
        <f>SUMIF(Mercado_Receita!$T$2:$T$345,"44531B1Energia convencionalResidencialResidencialNão se aplicaNão se aplicaNão se aplica",Mercado_Receita!$N$2:$N$345)</f>
        <v>940.28199999999993</v>
      </c>
      <c r="M7" s="13">
        <f>SUMIF(Mercado_Receita!$T$2:$T$345,"44562B1Energia convencionalResidencialResidencialNão se aplicaNão se aplicaNão se aplica",Mercado_Receita!$N$2:$N$345)</f>
        <v>1085.8879999999999</v>
      </c>
      <c r="N7" s="13">
        <f>SUMIF(Mercado_Receita!$T$2:$T$345,"44593B1Energia convencionalResidencialResidencialNão se aplicaNão se aplicaNão se aplica",Mercado_Receita!$N$2:$N$345)</f>
        <v>882.59699999999998</v>
      </c>
      <c r="O7" s="13">
        <f>SUMIF(Mercado_Receita!$T$2:$T$345,"44621B1Energia convencionalResidencialResidencialNão se aplicaNão se aplicaNão se aplica",Mercado_Receita!$N$2:$N$345)</f>
        <v>907.07299999999998</v>
      </c>
      <c r="P7" s="13">
        <f>SUMIF(Mercado_Receita!$T$2:$T$345,"44652B1Energia convencionalResidencialResidencialNão se aplicaNão se aplicaNão se aplica",Mercado_Receita!$N$2:$N$345)</f>
        <v>799.77200000000005</v>
      </c>
      <c r="Q7" s="13">
        <f>SUMIF(Mercado_Receita!$T$2:$T$345,"44682B1Energia convencionalResidencialResidencialNão se aplicaNão se aplicaNão se aplica",Mercado_Receita!$N$2:$N$345)</f>
        <v>757.29</v>
      </c>
      <c r="R7" s="13">
        <f>SUMIF(Mercado_Receita!$T$2:$T$345,"44713B1Energia convencionalResidencialResidencialNão se aplicaNão se aplicaNão se aplica",Mercado_Receita!$N$2:$N$345)</f>
        <v>856.41499999999996</v>
      </c>
      <c r="S7" s="13">
        <f>SUMIF(Mercado_Receita!$T$2:$T$345,"44743B1Energia convencionalResidencialResidencialNão se aplicaNão se aplicaNão se aplica",Mercado_Receita!$N$2:$N$345)</f>
        <v>730.08799999999997</v>
      </c>
      <c r="T7" s="13">
        <f>SUMIF(Mercado_Receita!$T$2:$T$345,"44774B1Energia convencionalResidencialResidencialNão se aplicaNão se aplicaNão se aplica",Mercado_Receita!$N$2:$N$345)</f>
        <v>809.51200000000006</v>
      </c>
      <c r="U7" s="13">
        <f t="shared" si="0"/>
        <v>10122.061</v>
      </c>
      <c r="V7" s="13"/>
      <c r="W7" s="13"/>
    </row>
    <row r="8" spans="1:30" ht="11.25" customHeight="1" x14ac:dyDescent="0.25">
      <c r="A8" s="75"/>
      <c r="B8" s="75"/>
      <c r="C8" s="75"/>
      <c r="D8" s="12" t="s">
        <v>29</v>
      </c>
      <c r="E8" s="12" t="s">
        <v>25</v>
      </c>
      <c r="F8" s="12" t="s">
        <v>25</v>
      </c>
      <c r="G8" s="13" t="s">
        <v>77</v>
      </c>
      <c r="H8" s="13" t="s">
        <v>70</v>
      </c>
      <c r="I8" s="13">
        <f>SUMIF(Mercado_Receita!$T$2:$T$345,"44440B1Energia convencionalResidencialResidencial baixa renda – faixa 01Não se aplicaNão se aplicaNão se aplica",Mercado_Receita!$N$2:$N$345)</f>
        <v>5.91</v>
      </c>
      <c r="J8" s="13">
        <f>SUMIF(Mercado_Receita!$T$2:$T$345,"44470B1Energia convencionalResidencialResidencial baixa renda – faixa 01Não se aplicaNão se aplicaNão se aplica",Mercado_Receita!$N$2:$N$345)</f>
        <v>5.97</v>
      </c>
      <c r="K8" s="13">
        <f>SUMIF(Mercado_Receita!$T$2:$T$345,"44501B1Energia convencionalResidencialResidencial baixa renda – faixa 01Não se aplicaNão se aplicaNão se aplica",Mercado_Receita!$N$2:$N$345)</f>
        <v>5.97</v>
      </c>
      <c r="L8" s="13">
        <f>SUMIF(Mercado_Receita!$T$2:$T$345,"44531B1Energia convencionalResidencialResidencial baixa renda – faixa 01Não se aplicaNão se aplicaNão se aplica",Mercado_Receita!$N$2:$N$345)</f>
        <v>6.3</v>
      </c>
      <c r="M8" s="13">
        <f>SUMIF(Mercado_Receita!$T$2:$T$345,"44562B1Energia convencionalResidencialResidencial baixa renda – faixa 01Não se aplicaNão se aplicaNão se aplica",Mercado_Receita!$N$2:$N$345)</f>
        <v>6.39</v>
      </c>
      <c r="N8" s="13">
        <f>SUMIF(Mercado_Receita!$T$2:$T$345,"44593B1Energia convencionalResidencialResidencial baixa renda – faixa 01Não se aplicaNão se aplicaNão se aplica",Mercado_Receita!$N$2:$N$345)</f>
        <v>12.179</v>
      </c>
      <c r="O8" s="13">
        <f>SUMIF(Mercado_Receita!$T$2:$T$345,"44621B1Energia convencionalResidencialResidencial baixa renda – faixa 01Não se aplicaNão se aplicaNão se aplica",Mercado_Receita!$N$2:$N$345)</f>
        <v>13.053000000000001</v>
      </c>
      <c r="P8" s="13">
        <f>SUMIF(Mercado_Receita!$T$2:$T$345,"44652B1Energia convencionalResidencialResidencial baixa renda – faixa 01Não se aplicaNão se aplicaNão se aplica",Mercado_Receita!$N$2:$N$345)</f>
        <v>13.14</v>
      </c>
      <c r="Q8" s="13">
        <f>SUMIF(Mercado_Receita!$T$2:$T$345,"44682B1Energia convencionalResidencialResidencial baixa renda – faixa 01Não se aplicaNão se aplicaNão se aplica",Mercado_Receita!$N$2:$N$345)</f>
        <v>12.45</v>
      </c>
      <c r="R8" s="13">
        <f>SUMIF(Mercado_Receita!$T$2:$T$345,"44713B1Energia convencionalResidencialResidencial baixa renda – faixa 01Não se aplicaNão se aplicaNão se aplica",Mercado_Receita!$N$2:$N$345)</f>
        <v>10.65</v>
      </c>
      <c r="S8" s="13">
        <f>SUMIF(Mercado_Receita!$T$2:$T$345,"44743B1Energia convencionalResidencialResidencial baixa renda – faixa 01Não se aplicaNão se aplicaNão se aplica",Mercado_Receita!$N$2:$N$345)</f>
        <v>9.48</v>
      </c>
      <c r="T8" s="13">
        <f>SUMIF(Mercado_Receita!$T$2:$T$345,"44774B1Energia convencionalResidencialResidencial baixa renda – faixa 01Não se aplicaNão se aplicaNão se aplica",Mercado_Receita!$N$2:$N$345)</f>
        <v>9.6300000000000008</v>
      </c>
      <c r="U8" s="13">
        <f t="shared" si="0"/>
        <v>111.12200000000001</v>
      </c>
      <c r="V8" s="13"/>
      <c r="W8" s="13"/>
    </row>
    <row r="9" spans="1:30" ht="11.25" customHeight="1" x14ac:dyDescent="0.25">
      <c r="A9" s="75"/>
      <c r="B9" s="75"/>
      <c r="C9" s="75"/>
      <c r="D9" s="12" t="s">
        <v>30</v>
      </c>
      <c r="E9" s="12" t="s">
        <v>25</v>
      </c>
      <c r="F9" s="12" t="s">
        <v>25</v>
      </c>
      <c r="G9" s="13" t="s">
        <v>77</v>
      </c>
      <c r="H9" s="13" t="s">
        <v>70</v>
      </c>
      <c r="I9" s="13">
        <f>SUMIF(Mercado_Receita!$T$2:$T$345,"44440B1Energia convencionalResidencialResidencial baixa renda – faixa 02Não se aplicaNão se aplicaNão se aplica",Mercado_Receita!$N$2:$N$345)</f>
        <v>12.31</v>
      </c>
      <c r="J9" s="13">
        <f>SUMIF(Mercado_Receita!$T$2:$T$345,"44470B1Energia convencionalResidencialResidencial baixa renda – faixa 02Não se aplicaNão se aplicaNão se aplica",Mercado_Receita!$N$2:$N$345)</f>
        <v>11.971</v>
      </c>
      <c r="K9" s="13">
        <f>SUMIF(Mercado_Receita!$T$2:$T$345,"44501B1Energia convencionalResidencialResidencial baixa renda – faixa 02Não se aplicaNão se aplicaNão se aplica",Mercado_Receita!$N$2:$N$345)</f>
        <v>12.382</v>
      </c>
      <c r="L9" s="13">
        <f>SUMIF(Mercado_Receita!$T$2:$T$345,"44531B1Energia convencionalResidencialResidencial baixa renda – faixa 02Não se aplicaNão se aplicaNão se aplica",Mercado_Receita!$N$2:$N$345)</f>
        <v>13.146000000000001</v>
      </c>
      <c r="M9" s="13">
        <f>SUMIF(Mercado_Receita!$T$2:$T$345,"44562B1Energia convencionalResidencialResidencial baixa renda – faixa 02Não se aplicaNão se aplicaNão se aplica",Mercado_Receita!$N$2:$N$345)</f>
        <v>13.582000000000001</v>
      </c>
      <c r="N9" s="13">
        <f>SUMIF(Mercado_Receita!$T$2:$T$345,"44593B1Energia convencionalResidencialResidencial baixa renda – faixa 02Não se aplicaNão se aplicaNão se aplica",Mercado_Receita!$N$2:$N$345)</f>
        <v>24.603000000000002</v>
      </c>
      <c r="O9" s="13">
        <f>SUMIF(Mercado_Receita!$T$2:$T$345,"44621B1Energia convencionalResidencialResidencial baixa renda – faixa 02Não se aplicaNão se aplicaNão se aplica",Mercado_Receita!$N$2:$N$345)</f>
        <v>26.404</v>
      </c>
      <c r="P9" s="13">
        <f>SUMIF(Mercado_Receita!$T$2:$T$345,"44652B1Energia convencionalResidencialResidencial baixa renda – faixa 02Não se aplicaNão se aplicaNão se aplica",Mercado_Receita!$N$2:$N$345)</f>
        <v>26.151</v>
      </c>
      <c r="Q9" s="13">
        <f>SUMIF(Mercado_Receita!$T$2:$T$345,"44682B1Energia convencionalResidencialResidencial baixa renda – faixa 02Não se aplicaNão se aplicaNão se aplica",Mercado_Receita!$N$2:$N$345)</f>
        <v>24.312000000000001</v>
      </c>
      <c r="R9" s="13">
        <f>SUMIF(Mercado_Receita!$T$2:$T$345,"44713B1Energia convencionalResidencialResidencial baixa renda – faixa 02Não se aplicaNão se aplicaNão se aplica",Mercado_Receita!$N$2:$N$345)</f>
        <v>21.07</v>
      </c>
      <c r="S9" s="13">
        <f>SUMIF(Mercado_Receita!$T$2:$T$345,"44743B1Energia convencionalResidencialResidencial baixa renda – faixa 02Não se aplicaNão se aplicaNão se aplica",Mercado_Receita!$N$2:$N$345)</f>
        <v>18.611000000000001</v>
      </c>
      <c r="T9" s="13">
        <f>SUMIF(Mercado_Receita!$T$2:$T$345,"44774B1Energia convencionalResidencialResidencial baixa renda – faixa 02Não se aplicaNão se aplicaNão se aplica",Mercado_Receita!$N$2:$N$345)</f>
        <v>19.117999999999999</v>
      </c>
      <c r="U9" s="13">
        <f t="shared" si="0"/>
        <v>223.66</v>
      </c>
      <c r="V9" s="13"/>
      <c r="W9" s="13"/>
    </row>
    <row r="10" spans="1:30" ht="11.25" customHeight="1" x14ac:dyDescent="0.25">
      <c r="A10" s="75"/>
      <c r="B10" s="75"/>
      <c r="C10" s="75"/>
      <c r="D10" s="12" t="s">
        <v>31</v>
      </c>
      <c r="E10" s="12" t="s">
        <v>25</v>
      </c>
      <c r="F10" s="12" t="s">
        <v>25</v>
      </c>
      <c r="G10" s="13" t="s">
        <v>77</v>
      </c>
      <c r="H10" s="13" t="s">
        <v>70</v>
      </c>
      <c r="I10" s="13">
        <f>SUMIF(Mercado_Receita!$T$2:$T$345,"44440B1Energia convencionalResidencialResidencial baixa renda – faixa 03Não se aplicaNão se aplicaNão se aplica",Mercado_Receita!$N$2:$N$345)</f>
        <v>12.941000000000001</v>
      </c>
      <c r="J10" s="13">
        <f>SUMIF(Mercado_Receita!$T$2:$T$345,"44470B1Energia convencionalResidencialResidencial baixa renda – faixa 03Não se aplicaNão se aplicaNão se aplica",Mercado_Receita!$N$2:$N$345)</f>
        <v>10.238</v>
      </c>
      <c r="K10" s="13">
        <f>SUMIF(Mercado_Receita!$T$2:$T$345,"44501B1Energia convencionalResidencialResidencial baixa renda – faixa 03Não se aplicaNão se aplicaNão se aplica",Mercado_Receita!$N$2:$N$345)</f>
        <v>12.458</v>
      </c>
      <c r="L10" s="13">
        <f>SUMIF(Mercado_Receita!$T$2:$T$345,"44531B1Energia convencionalResidencialResidencial baixa renda – faixa 03Não se aplicaNão se aplicaNão se aplica",Mercado_Receita!$N$2:$N$345)</f>
        <v>15.427</v>
      </c>
      <c r="M10" s="13">
        <f>SUMIF(Mercado_Receita!$T$2:$T$345,"44562B1Energia convencionalResidencialResidencial baixa renda – faixa 03Não se aplicaNão se aplicaNão se aplica",Mercado_Receita!$N$2:$N$345)</f>
        <v>16.670999999999999</v>
      </c>
      <c r="N10" s="13">
        <f>SUMIF(Mercado_Receita!$T$2:$T$345,"44593B1Energia convencionalResidencialResidencial baixa renda – faixa 03Não se aplicaNão se aplicaNão se aplica",Mercado_Receita!$N$2:$N$345)</f>
        <v>26.309000000000001</v>
      </c>
      <c r="O10" s="13">
        <f>SUMIF(Mercado_Receita!$T$2:$T$345,"44621B1Energia convencionalResidencialResidencial baixa renda – faixa 03Não se aplicaNão se aplicaNão se aplica",Mercado_Receita!$N$2:$N$345)</f>
        <v>28.52</v>
      </c>
      <c r="P10" s="13">
        <f>SUMIF(Mercado_Receita!$T$2:$T$345,"44652B1Energia convencionalResidencialResidencial baixa renda – faixa 03Não se aplicaNão se aplicaNão se aplica",Mercado_Receita!$N$2:$N$345)</f>
        <v>26.978999999999999</v>
      </c>
      <c r="Q10" s="13">
        <f>SUMIF(Mercado_Receita!$T$2:$T$345,"44682B1Energia convencionalResidencialResidencial baixa renda – faixa 03Não se aplicaNão se aplicaNão se aplica",Mercado_Receita!$N$2:$N$345)</f>
        <v>22.402999999999999</v>
      </c>
      <c r="R10" s="13">
        <f>SUMIF(Mercado_Receita!$T$2:$T$345,"44713B1Energia convencionalResidencialResidencial baixa renda – faixa 03Não se aplicaNão se aplicaNão se aplica",Mercado_Receita!$N$2:$N$345)</f>
        <v>22.442</v>
      </c>
      <c r="S10" s="13">
        <f>SUMIF(Mercado_Receita!$T$2:$T$345,"44743B1Energia convencionalResidencialResidencial baixa renda – faixa 03Não se aplicaNão se aplicaNão se aplica",Mercado_Receita!$N$2:$N$345)</f>
        <v>16.286000000000001</v>
      </c>
      <c r="T10" s="13">
        <f>SUMIF(Mercado_Receita!$T$2:$T$345,"44774B1Energia convencionalResidencialResidencial baixa renda – faixa 03Não se aplicaNão se aplicaNão se aplica",Mercado_Receita!$N$2:$N$345)</f>
        <v>18.670999999999999</v>
      </c>
      <c r="U10" s="13">
        <f t="shared" si="0"/>
        <v>229.345</v>
      </c>
      <c r="V10" s="13"/>
      <c r="W10" s="13"/>
    </row>
    <row r="11" spans="1:30" ht="11.25" customHeight="1" x14ac:dyDescent="0.25">
      <c r="A11" s="75"/>
      <c r="B11" s="75"/>
      <c r="C11" s="75"/>
      <c r="D11" s="12" t="s">
        <v>32</v>
      </c>
      <c r="E11" s="12" t="s">
        <v>25</v>
      </c>
      <c r="F11" s="12" t="s">
        <v>25</v>
      </c>
      <c r="G11" s="13" t="s">
        <v>77</v>
      </c>
      <c r="H11" s="13" t="s">
        <v>70</v>
      </c>
      <c r="I11" s="13">
        <f>SUMIF(Mercado_Receita!$T$2:$T$345,"44440B1Energia convencionalResidencialResidencial baixa renda – faixa 04Não se aplicaNão se aplicaNão se aplica",Mercado_Receita!$N$2:$N$345)</f>
        <v>5.3769999999999998</v>
      </c>
      <c r="J11" s="13">
        <f>SUMIF(Mercado_Receita!$T$2:$T$345,"44470B1Energia convencionalResidencialResidencial baixa renda – faixa 04Não se aplicaNão se aplicaNão se aplica",Mercado_Receita!$N$2:$N$345)</f>
        <v>2.8479999999999999</v>
      </c>
      <c r="K11" s="13">
        <f>SUMIF(Mercado_Receita!$T$2:$T$345,"44501B1Energia convencionalResidencialResidencial baixa renda – faixa 04Não se aplicaNão se aplicaNão se aplica",Mercado_Receita!$N$2:$N$345)</f>
        <v>4.7279999999999998</v>
      </c>
      <c r="L11" s="13">
        <f>SUMIF(Mercado_Receita!$T$2:$T$345,"44531B1Energia convencionalResidencialResidencial baixa renda – faixa 04Não se aplicaNão se aplicaNão se aplica",Mercado_Receita!$N$2:$N$345)</f>
        <v>7.8019999999999996</v>
      </c>
      <c r="M11" s="13">
        <f>SUMIF(Mercado_Receita!$T$2:$T$345,"44562B1Energia convencionalResidencialResidencial baixa renda – faixa 04Não se aplicaNão se aplicaNão se aplica",Mercado_Receita!$N$2:$N$345)</f>
        <v>10.47</v>
      </c>
      <c r="N11" s="13">
        <f>SUMIF(Mercado_Receita!$T$2:$T$345,"44593B1Energia convencionalResidencialResidencial baixa renda – faixa 04Não se aplicaNão se aplicaNão se aplica",Mercado_Receita!$N$2:$N$345)</f>
        <v>14.282</v>
      </c>
      <c r="O11" s="13">
        <f>SUMIF(Mercado_Receita!$T$2:$T$345,"44621B1Energia convencionalResidencialResidencial baixa renda – faixa 04Não se aplicaNão se aplicaNão se aplica",Mercado_Receita!$N$2:$N$345)</f>
        <v>15.81</v>
      </c>
      <c r="P11" s="13">
        <f>SUMIF(Mercado_Receita!$T$2:$T$345,"44652B1Energia convencionalResidencialResidencial baixa renda – faixa 04Não se aplicaNão se aplicaNão se aplica",Mercado_Receita!$N$2:$N$345)</f>
        <v>12.138999999999999</v>
      </c>
      <c r="Q11" s="13">
        <f>SUMIF(Mercado_Receita!$T$2:$T$345,"44682B1Energia convencionalResidencialResidencial baixa renda – faixa 04Não se aplicaNão se aplicaNão se aplica",Mercado_Receita!$N$2:$N$345)</f>
        <v>7.76</v>
      </c>
      <c r="R11" s="13">
        <f>SUMIF(Mercado_Receita!$T$2:$T$345,"44713B1Energia convencionalResidencialResidencial baixa renda – faixa 04Não se aplicaNão se aplicaNão se aplica",Mercado_Receita!$N$2:$N$345)</f>
        <v>10.635</v>
      </c>
      <c r="S11" s="13">
        <f>SUMIF(Mercado_Receita!$T$2:$T$345,"44743B1Energia convencionalResidencialResidencial baixa renda – faixa 04Não se aplicaNão se aplicaNão se aplica",Mercado_Receita!$N$2:$N$345)</f>
        <v>4.3120000000000003</v>
      </c>
      <c r="T11" s="13">
        <f>SUMIF(Mercado_Receita!$T$2:$T$345,"44774B1Energia convencionalResidencialResidencial baixa renda – faixa 04Não se aplicaNão se aplicaNão se aplica",Mercado_Receita!$N$2:$N$345)</f>
        <v>7.032</v>
      </c>
      <c r="U11" s="13">
        <f t="shared" si="0"/>
        <v>103.19500000000001</v>
      </c>
      <c r="V11" s="13"/>
      <c r="W11" s="13"/>
    </row>
    <row r="12" spans="1:30" ht="11.25" customHeight="1" x14ac:dyDescent="0.25">
      <c r="A12" s="75"/>
      <c r="B12" s="74" t="s">
        <v>86</v>
      </c>
      <c r="C12" s="74" t="s">
        <v>24</v>
      </c>
      <c r="D12" s="12" t="s">
        <v>24</v>
      </c>
      <c r="E12" s="12" t="s">
        <v>25</v>
      </c>
      <c r="F12" s="12" t="s">
        <v>25</v>
      </c>
      <c r="G12" s="13" t="s">
        <v>77</v>
      </c>
      <c r="H12" s="13" t="s">
        <v>70</v>
      </c>
      <c r="I12" s="13">
        <f>SUMIF(Mercado_Receita!$T$2:$T$345,"44440B1Energia convencional pré-pagamentoResidencialResidencialNão se aplicaNão se aplicaNão se aplica",Mercado_Receita!$N$2:$N$345)</f>
        <v>0</v>
      </c>
      <c r="J12" s="13">
        <f>SUMIF(Mercado_Receita!$T$2:$T$345,"44470B1Energia convencional pré-pagamentoResidencialResidencialNão se aplicaNão se aplicaNão se aplica",Mercado_Receita!$N$2:$N$345)</f>
        <v>0</v>
      </c>
      <c r="K12" s="13">
        <f>SUMIF(Mercado_Receita!$T$2:$T$345,"44501B1Energia convencional pré-pagamentoResidencialResidencialNão se aplicaNão se aplicaNão se aplica",Mercado_Receita!$N$2:$N$345)</f>
        <v>0</v>
      </c>
      <c r="L12" s="13">
        <f>SUMIF(Mercado_Receita!$T$2:$T$345,"44531B1Energia convencional pré-pagamentoResidencialResidencialNão se aplicaNão se aplicaNão se aplica",Mercado_Receita!$N$2:$N$345)</f>
        <v>0</v>
      </c>
      <c r="M12" s="13">
        <f>SUMIF(Mercado_Receita!$T$2:$T$345,"44562B1Energia convencional pré-pagamentoResidencialResidencialNão se aplicaNão se aplicaNão se aplica",Mercado_Receita!$N$2:$N$345)</f>
        <v>0</v>
      </c>
      <c r="N12" s="13">
        <f>SUMIF(Mercado_Receita!$T$2:$T$345,"44593B1Energia convencional pré-pagamentoResidencialResidencialNão se aplicaNão se aplicaNão se aplica",Mercado_Receita!$N$2:$N$345)</f>
        <v>0</v>
      </c>
      <c r="O12" s="13">
        <f>SUMIF(Mercado_Receita!$T$2:$T$345,"44621B1Energia convencional pré-pagamentoResidencialResidencialNão se aplicaNão se aplicaNão se aplica",Mercado_Receita!$N$2:$N$345)</f>
        <v>0</v>
      </c>
      <c r="P12" s="13">
        <f>SUMIF(Mercado_Receita!$T$2:$T$345,"44652B1Energia convencional pré-pagamentoResidencialResidencialNão se aplicaNão se aplicaNão se aplica",Mercado_Receita!$N$2:$N$345)</f>
        <v>0</v>
      </c>
      <c r="Q12" s="13">
        <f>SUMIF(Mercado_Receita!$T$2:$T$345,"44682B1Energia convencional pré-pagamentoResidencialResidencialNão se aplicaNão se aplicaNão se aplica",Mercado_Receita!$N$2:$N$345)</f>
        <v>0</v>
      </c>
      <c r="R12" s="13">
        <f>SUMIF(Mercado_Receita!$T$2:$T$345,"44713B1Energia convencional pré-pagamentoResidencialResidencialNão se aplicaNão se aplicaNão se aplica",Mercado_Receita!$N$2:$N$345)</f>
        <v>0</v>
      </c>
      <c r="S12" s="13">
        <f>SUMIF(Mercado_Receita!$T$2:$T$345,"44743B1Energia convencional pré-pagamentoResidencialResidencialNão se aplicaNão se aplicaNão se aplica",Mercado_Receita!$N$2:$N$345)</f>
        <v>0</v>
      </c>
      <c r="T12" s="13">
        <f>SUMIF(Mercado_Receita!$T$2:$T$345,"44774B1Energia convencional pré-pagamentoResidencialResidencialNão se aplicaNão se aplicaNão se aplica",Mercado_Receita!$N$2:$N$345)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75"/>
      <c r="B13" s="75"/>
      <c r="C13" s="75"/>
      <c r="D13" s="12" t="s">
        <v>29</v>
      </c>
      <c r="E13" s="12" t="s">
        <v>25</v>
      </c>
      <c r="F13" s="12" t="s">
        <v>25</v>
      </c>
      <c r="G13" s="13" t="s">
        <v>77</v>
      </c>
      <c r="H13" s="13" t="s">
        <v>70</v>
      </c>
      <c r="I13" s="13">
        <f>SUMIF(Mercado_Receita!$T$2:$T$345,"44440B1Energia convencional pré-pagamentoResidencialResidencial baixa renda – faixa 01Não se aplicaNão se aplicaNão se aplica",Mercado_Receita!$N$2:$N$345)</f>
        <v>0</v>
      </c>
      <c r="J13" s="13">
        <f>SUMIF(Mercado_Receita!$T$2:$T$345,"44470B1Energia convencional pré-pagamentoResidencialResidencial baixa renda – faixa 01Não se aplicaNão se aplicaNão se aplica",Mercado_Receita!$N$2:$N$345)</f>
        <v>0</v>
      </c>
      <c r="K13" s="13">
        <f>SUMIF(Mercado_Receita!$T$2:$T$345,"44501B1Energia convencional pré-pagamentoResidencialResidencial baixa renda – faixa 01Não se aplicaNão se aplicaNão se aplica",Mercado_Receita!$N$2:$N$345)</f>
        <v>0</v>
      </c>
      <c r="L13" s="13">
        <f>SUMIF(Mercado_Receita!$T$2:$T$345,"44531B1Energia convencional pré-pagamentoResidencialResidencial baixa renda – faixa 01Não se aplicaNão se aplicaNão se aplica",Mercado_Receita!$N$2:$N$345)</f>
        <v>0</v>
      </c>
      <c r="M13" s="13">
        <f>SUMIF(Mercado_Receita!$T$2:$T$345,"44562B1Energia convencional pré-pagamentoResidencialResidencial baixa renda – faixa 01Não se aplicaNão se aplicaNão se aplica",Mercado_Receita!$N$2:$N$345)</f>
        <v>0</v>
      </c>
      <c r="N13" s="13">
        <f>SUMIF(Mercado_Receita!$T$2:$T$345,"44593B1Energia convencional pré-pagamentoResidencialResidencial baixa renda – faixa 01Não se aplicaNão se aplicaNão se aplica",Mercado_Receita!$N$2:$N$345)</f>
        <v>0</v>
      </c>
      <c r="O13" s="13">
        <f>SUMIF(Mercado_Receita!$T$2:$T$345,"44621B1Energia convencional pré-pagamentoResidencialResidencial baixa renda – faixa 01Não se aplicaNão se aplicaNão se aplica",Mercado_Receita!$N$2:$N$345)</f>
        <v>0</v>
      </c>
      <c r="P13" s="13">
        <f>SUMIF(Mercado_Receita!$T$2:$T$345,"44652B1Energia convencional pré-pagamentoResidencialResidencial baixa renda – faixa 01Não se aplicaNão se aplicaNão se aplica",Mercado_Receita!$N$2:$N$345)</f>
        <v>0</v>
      </c>
      <c r="Q13" s="13">
        <f>SUMIF(Mercado_Receita!$T$2:$T$345,"44682B1Energia convencional pré-pagamentoResidencialResidencial baixa renda – faixa 01Não se aplicaNão se aplicaNão se aplica",Mercado_Receita!$N$2:$N$345)</f>
        <v>0</v>
      </c>
      <c r="R13" s="13">
        <f>SUMIF(Mercado_Receita!$T$2:$T$345,"44713B1Energia convencional pré-pagamentoResidencialResidencial baixa renda – faixa 01Não se aplicaNão se aplicaNão se aplica",Mercado_Receita!$N$2:$N$345)</f>
        <v>0</v>
      </c>
      <c r="S13" s="13">
        <f>SUMIF(Mercado_Receita!$T$2:$T$345,"44743B1Energia convencional pré-pagamentoResidencialResidencial baixa renda – faixa 01Não se aplicaNão se aplicaNão se aplica",Mercado_Receita!$N$2:$N$345)</f>
        <v>0</v>
      </c>
      <c r="T13" s="13">
        <f>SUMIF(Mercado_Receita!$T$2:$T$345,"44774B1Energia convencional pré-pagamentoResidencialResidencial baixa renda – faixa 01Não se aplicaNão se aplicaNão se aplica",Mercado_Receita!$N$2:$N$345)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5"/>
      <c r="B14" s="75"/>
      <c r="C14" s="75"/>
      <c r="D14" s="12" t="s">
        <v>30</v>
      </c>
      <c r="E14" s="12" t="s">
        <v>25</v>
      </c>
      <c r="F14" s="12" t="s">
        <v>25</v>
      </c>
      <c r="G14" s="13" t="s">
        <v>77</v>
      </c>
      <c r="H14" s="13" t="s">
        <v>70</v>
      </c>
      <c r="I14" s="13">
        <f>SUMIF(Mercado_Receita!$T$2:$T$345,"44440B1Energia convencional pré-pagamentoResidencialResidencial baixa renda – faixa 02Não se aplicaNão se aplicaNão se aplica",Mercado_Receita!$N$2:$N$345)</f>
        <v>0</v>
      </c>
      <c r="J14" s="13">
        <f>SUMIF(Mercado_Receita!$T$2:$T$345,"44470B1Energia convencional pré-pagamentoResidencialResidencial baixa renda – faixa 02Não se aplicaNão se aplicaNão se aplica",Mercado_Receita!$N$2:$N$345)</f>
        <v>0</v>
      </c>
      <c r="K14" s="13">
        <f>SUMIF(Mercado_Receita!$T$2:$T$345,"44501B1Energia convencional pré-pagamentoResidencialResidencial baixa renda – faixa 02Não se aplicaNão se aplicaNão se aplica",Mercado_Receita!$N$2:$N$345)</f>
        <v>0</v>
      </c>
      <c r="L14" s="13">
        <f>SUMIF(Mercado_Receita!$T$2:$T$345,"44531B1Energia convencional pré-pagamentoResidencialResidencial baixa renda – faixa 02Não se aplicaNão se aplicaNão se aplica",Mercado_Receita!$N$2:$N$345)</f>
        <v>0</v>
      </c>
      <c r="M14" s="13">
        <f>SUMIF(Mercado_Receita!$T$2:$T$345,"44562B1Energia convencional pré-pagamentoResidencialResidencial baixa renda – faixa 02Não se aplicaNão se aplicaNão se aplica",Mercado_Receita!$N$2:$N$345)</f>
        <v>0</v>
      </c>
      <c r="N14" s="13">
        <f>SUMIF(Mercado_Receita!$T$2:$T$345,"44593B1Energia convencional pré-pagamentoResidencialResidencial baixa renda – faixa 02Não se aplicaNão se aplicaNão se aplica",Mercado_Receita!$N$2:$N$345)</f>
        <v>0</v>
      </c>
      <c r="O14" s="13">
        <f>SUMIF(Mercado_Receita!$T$2:$T$345,"44621B1Energia convencional pré-pagamentoResidencialResidencial baixa renda – faixa 02Não se aplicaNão se aplicaNão se aplica",Mercado_Receita!$N$2:$N$345)</f>
        <v>0</v>
      </c>
      <c r="P14" s="13">
        <f>SUMIF(Mercado_Receita!$T$2:$T$345,"44652B1Energia convencional pré-pagamentoResidencialResidencial baixa renda – faixa 02Não se aplicaNão se aplicaNão se aplica",Mercado_Receita!$N$2:$N$345)</f>
        <v>0</v>
      </c>
      <c r="Q14" s="13">
        <f>SUMIF(Mercado_Receita!$T$2:$T$345,"44682B1Energia convencional pré-pagamentoResidencialResidencial baixa renda – faixa 02Não se aplicaNão se aplicaNão se aplica",Mercado_Receita!$N$2:$N$345)</f>
        <v>0</v>
      </c>
      <c r="R14" s="13">
        <f>SUMIF(Mercado_Receita!$T$2:$T$345,"44713B1Energia convencional pré-pagamentoResidencialResidencial baixa renda – faixa 02Não se aplicaNão se aplicaNão se aplica",Mercado_Receita!$N$2:$N$345)</f>
        <v>0</v>
      </c>
      <c r="S14" s="13">
        <f>SUMIF(Mercado_Receita!$T$2:$T$345,"44743B1Energia convencional pré-pagamentoResidencialResidencial baixa renda – faixa 02Não se aplicaNão se aplicaNão se aplica",Mercado_Receita!$N$2:$N$345)</f>
        <v>0</v>
      </c>
      <c r="T14" s="13">
        <f>SUMIF(Mercado_Receita!$T$2:$T$345,"44774B1Energia convencional pré-pagamentoResidencialResidencial baixa renda – faixa 02Não se aplicaNão se aplicaNão se aplica",Mercado_Receita!$N$2:$N$345)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75"/>
      <c r="B15" s="75"/>
      <c r="C15" s="75"/>
      <c r="D15" s="12" t="s">
        <v>31</v>
      </c>
      <c r="E15" s="12" t="s">
        <v>25</v>
      </c>
      <c r="F15" s="12" t="s">
        <v>25</v>
      </c>
      <c r="G15" s="13" t="s">
        <v>77</v>
      </c>
      <c r="H15" s="13" t="s">
        <v>70</v>
      </c>
      <c r="I15" s="13">
        <f>SUMIF(Mercado_Receita!$T$2:$T$345,"44440B1Energia convencional pré-pagamentoResidencialResidencial baixa renda – faixa 03Não se aplicaNão se aplicaNão se aplica",Mercado_Receita!$N$2:$N$345)</f>
        <v>0</v>
      </c>
      <c r="J15" s="13">
        <f>SUMIF(Mercado_Receita!$T$2:$T$345,"44470B1Energia convencional pré-pagamentoResidencialResidencial baixa renda – faixa 03Não se aplicaNão se aplicaNão se aplica",Mercado_Receita!$N$2:$N$345)</f>
        <v>0</v>
      </c>
      <c r="K15" s="13">
        <f>SUMIF(Mercado_Receita!$T$2:$T$345,"44501B1Energia convencional pré-pagamentoResidencialResidencial baixa renda – faixa 03Não se aplicaNão se aplicaNão se aplica",Mercado_Receita!$N$2:$N$345)</f>
        <v>0</v>
      </c>
      <c r="L15" s="13">
        <f>SUMIF(Mercado_Receita!$T$2:$T$345,"44531B1Energia convencional pré-pagamentoResidencialResidencial baixa renda – faixa 03Não se aplicaNão se aplicaNão se aplica",Mercado_Receita!$N$2:$N$345)</f>
        <v>0</v>
      </c>
      <c r="M15" s="13">
        <f>SUMIF(Mercado_Receita!$T$2:$T$345,"44562B1Energia convencional pré-pagamentoResidencialResidencial baixa renda – faixa 03Não se aplicaNão se aplicaNão se aplica",Mercado_Receita!$N$2:$N$345)</f>
        <v>0</v>
      </c>
      <c r="N15" s="13">
        <f>SUMIF(Mercado_Receita!$T$2:$T$345,"44593B1Energia convencional pré-pagamentoResidencialResidencial baixa renda – faixa 03Não se aplicaNão se aplicaNão se aplica",Mercado_Receita!$N$2:$N$345)</f>
        <v>0</v>
      </c>
      <c r="O15" s="13">
        <f>SUMIF(Mercado_Receita!$T$2:$T$345,"44621B1Energia convencional pré-pagamentoResidencialResidencial baixa renda – faixa 03Não se aplicaNão se aplicaNão se aplica",Mercado_Receita!$N$2:$N$345)</f>
        <v>0</v>
      </c>
      <c r="P15" s="13">
        <f>SUMIF(Mercado_Receita!$T$2:$T$345,"44652B1Energia convencional pré-pagamentoResidencialResidencial baixa renda – faixa 03Não se aplicaNão se aplicaNão se aplica",Mercado_Receita!$N$2:$N$345)</f>
        <v>0</v>
      </c>
      <c r="Q15" s="13">
        <f>SUMIF(Mercado_Receita!$T$2:$T$345,"44682B1Energia convencional pré-pagamentoResidencialResidencial baixa renda – faixa 03Não se aplicaNão se aplicaNão se aplica",Mercado_Receita!$N$2:$N$345)</f>
        <v>0</v>
      </c>
      <c r="R15" s="13">
        <f>SUMIF(Mercado_Receita!$T$2:$T$345,"44713B1Energia convencional pré-pagamentoResidencialResidencial baixa renda – faixa 03Não se aplicaNão se aplicaNão se aplica",Mercado_Receita!$N$2:$N$345)</f>
        <v>0</v>
      </c>
      <c r="S15" s="13">
        <f>SUMIF(Mercado_Receita!$T$2:$T$345,"44743B1Energia convencional pré-pagamentoResidencialResidencial baixa renda – faixa 03Não se aplicaNão se aplicaNão se aplica",Mercado_Receita!$N$2:$N$345)</f>
        <v>0</v>
      </c>
      <c r="T15" s="13">
        <f>SUMIF(Mercado_Receita!$T$2:$T$345,"44774B1Energia convencional pré-pagamentoResidencialResidencial baixa renda – faixa 03Não se aplicaNão se aplicaNão se aplica",Mercado_Receita!$N$2:$N$345)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75"/>
      <c r="B16" s="75"/>
      <c r="C16" s="75"/>
      <c r="D16" s="12" t="s">
        <v>32</v>
      </c>
      <c r="E16" s="12" t="s">
        <v>25</v>
      </c>
      <c r="F16" s="12" t="s">
        <v>25</v>
      </c>
      <c r="G16" s="13" t="s">
        <v>77</v>
      </c>
      <c r="H16" s="13" t="s">
        <v>70</v>
      </c>
      <c r="I16" s="13">
        <f>SUMIF(Mercado_Receita!$T$2:$T$345,"44440B1Energia convencional pré-pagamentoResidencialResidencial baixa renda – faixa 04Não se aplicaNão se aplicaNão se aplica",Mercado_Receita!$N$2:$N$345)</f>
        <v>0</v>
      </c>
      <c r="J16" s="13">
        <f>SUMIF(Mercado_Receita!$T$2:$T$345,"44470B1Energia convencional pré-pagamentoResidencialResidencial baixa renda – faixa 04Não se aplicaNão se aplicaNão se aplica",Mercado_Receita!$N$2:$N$345)</f>
        <v>0</v>
      </c>
      <c r="K16" s="13">
        <f>SUMIF(Mercado_Receita!$T$2:$T$345,"44501B1Energia convencional pré-pagamentoResidencialResidencial baixa renda – faixa 04Não se aplicaNão se aplicaNão se aplica",Mercado_Receita!$N$2:$N$345)</f>
        <v>0</v>
      </c>
      <c r="L16" s="13">
        <f>SUMIF(Mercado_Receita!$T$2:$T$345,"44531B1Energia convencional pré-pagamentoResidencialResidencial baixa renda – faixa 04Não se aplicaNão se aplicaNão se aplica",Mercado_Receita!$N$2:$N$345)</f>
        <v>0</v>
      </c>
      <c r="M16" s="13">
        <f>SUMIF(Mercado_Receita!$T$2:$T$345,"44562B1Energia convencional pré-pagamentoResidencialResidencial baixa renda – faixa 04Não se aplicaNão se aplicaNão se aplica",Mercado_Receita!$N$2:$N$345)</f>
        <v>0</v>
      </c>
      <c r="N16" s="13">
        <f>SUMIF(Mercado_Receita!$T$2:$T$345,"44593B1Energia convencional pré-pagamentoResidencialResidencial baixa renda – faixa 04Não se aplicaNão se aplicaNão se aplica",Mercado_Receita!$N$2:$N$345)</f>
        <v>0</v>
      </c>
      <c r="O16" s="13">
        <f>SUMIF(Mercado_Receita!$T$2:$T$345,"44621B1Energia convencional pré-pagamentoResidencialResidencial baixa renda – faixa 04Não se aplicaNão se aplicaNão se aplica",Mercado_Receita!$N$2:$N$345)</f>
        <v>0</v>
      </c>
      <c r="P16" s="13">
        <f>SUMIF(Mercado_Receita!$T$2:$T$345,"44652B1Energia convencional pré-pagamentoResidencialResidencial baixa renda – faixa 04Não se aplicaNão se aplicaNão se aplica",Mercado_Receita!$N$2:$N$345)</f>
        <v>0</v>
      </c>
      <c r="Q16" s="13">
        <f>SUMIF(Mercado_Receita!$T$2:$T$345,"44682B1Energia convencional pré-pagamentoResidencialResidencial baixa renda – faixa 04Não se aplicaNão se aplicaNão se aplica",Mercado_Receita!$N$2:$N$345)</f>
        <v>0</v>
      </c>
      <c r="R16" s="13">
        <f>SUMIF(Mercado_Receita!$T$2:$T$345,"44713B1Energia convencional pré-pagamentoResidencialResidencial baixa renda – faixa 04Não se aplicaNão se aplicaNão se aplica",Mercado_Receita!$N$2:$N$345)</f>
        <v>0</v>
      </c>
      <c r="S16" s="13">
        <f>SUMIF(Mercado_Receita!$T$2:$T$345,"44743B1Energia convencional pré-pagamentoResidencialResidencial baixa renda – faixa 04Não se aplicaNão se aplicaNão se aplica",Mercado_Receita!$N$2:$N$345)</f>
        <v>0</v>
      </c>
      <c r="T16" s="13">
        <f>SUMIF(Mercado_Receita!$T$2:$T$345,"44774B1Energia convencional pré-pagamentoResidencialResidencial baixa renda – faixa 04Não se aplicaNão se aplicaNão se aplica",Mercado_Receita!$N$2:$N$345)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4" t="s">
        <v>40</v>
      </c>
      <c r="B17" s="74" t="s">
        <v>69</v>
      </c>
      <c r="C17" s="74" t="s">
        <v>41</v>
      </c>
      <c r="D17" s="74" t="s">
        <v>25</v>
      </c>
      <c r="E17" s="74" t="s">
        <v>25</v>
      </c>
      <c r="F17" s="74" t="s">
        <v>25</v>
      </c>
      <c r="G17" s="13" t="s">
        <v>71</v>
      </c>
      <c r="H17" s="13" t="s">
        <v>70</v>
      </c>
      <c r="I17" s="13">
        <f>SUMIF(Mercado_Receita!$T$2:$T$345,"44440B2Energia horáriaRuralNão se aplicaNão se aplicaNão se aplicaPonta",Mercado_Receita!$N$2:$N$345)</f>
        <v>0</v>
      </c>
      <c r="J17" s="13">
        <f>SUMIF(Mercado_Receita!$T$2:$T$345,"44470B2Energia horáriaRuralNão se aplicaNão se aplicaNão se aplicaPonta",Mercado_Receita!$N$2:$N$345)</f>
        <v>0</v>
      </c>
      <c r="K17" s="13">
        <f>SUMIF(Mercado_Receita!$T$2:$T$345,"44501B2Energia horáriaRuralNão se aplicaNão se aplicaNão se aplicaPonta",Mercado_Receita!$N$2:$N$345)</f>
        <v>0</v>
      </c>
      <c r="L17" s="13">
        <f>SUMIF(Mercado_Receita!$T$2:$T$345,"44531B2Energia horáriaRuralNão se aplicaNão se aplicaNão se aplicaPonta",Mercado_Receita!$N$2:$N$345)</f>
        <v>0</v>
      </c>
      <c r="M17" s="13">
        <f>SUMIF(Mercado_Receita!$T$2:$T$345,"44562B2Energia horáriaRuralNão se aplicaNão se aplicaNão se aplicaPonta",Mercado_Receita!$N$2:$N$345)</f>
        <v>0</v>
      </c>
      <c r="N17" s="13">
        <f>SUMIF(Mercado_Receita!$T$2:$T$345,"44593B2Energia horáriaRuralNão se aplicaNão se aplicaNão se aplicaPonta",Mercado_Receita!$N$2:$N$345)</f>
        <v>0</v>
      </c>
      <c r="O17" s="13">
        <f>SUMIF(Mercado_Receita!$T$2:$T$345,"44621B2Energia horáriaRuralNão se aplicaNão se aplicaNão se aplicaPonta",Mercado_Receita!$N$2:$N$345)</f>
        <v>0</v>
      </c>
      <c r="P17" s="13">
        <f>SUMIF(Mercado_Receita!$T$2:$T$345,"44652B2Energia horáriaRuralNão se aplicaNão se aplicaNão se aplicaPonta",Mercado_Receita!$N$2:$N$345)</f>
        <v>0</v>
      </c>
      <c r="Q17" s="13">
        <f>SUMIF(Mercado_Receita!$T$2:$T$345,"44682B2Energia horáriaRuralNão se aplicaNão se aplicaNão se aplicaPonta",Mercado_Receita!$N$2:$N$345)</f>
        <v>0</v>
      </c>
      <c r="R17" s="13">
        <f>SUMIF(Mercado_Receita!$T$2:$T$345,"44713B2Energia horáriaRuralNão se aplicaNão se aplicaNão se aplicaPonta",Mercado_Receita!$N$2:$N$345)</f>
        <v>0</v>
      </c>
      <c r="S17" s="13">
        <f>SUMIF(Mercado_Receita!$T$2:$T$345,"44743B2Energia horáriaRuralNão se aplicaNão se aplicaNão se aplicaPonta",Mercado_Receita!$N$2:$N$345)</f>
        <v>0</v>
      </c>
      <c r="T17" s="13">
        <f>SUMIF(Mercado_Receita!$T$2:$T$345,"44774B2Energia horáriaRuralNão se aplicaNão se aplicaNão se aplicaPonta",Mercado_Receita!$N$2:$N$345)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75"/>
      <c r="B18" s="75"/>
      <c r="C18" s="75"/>
      <c r="D18" s="75"/>
      <c r="E18" s="75"/>
      <c r="F18" s="75"/>
      <c r="G18" s="13" t="s">
        <v>83</v>
      </c>
      <c r="H18" s="13" t="s">
        <v>70</v>
      </c>
      <c r="I18" s="13">
        <f>SUMIF(Mercado_Receita!$T$2:$T$345,"44440B2Energia horáriaRuralNão se aplicaNão se aplicaNão se aplicaIntermediário",Mercado_Receita!$N$2:$N$345)</f>
        <v>0</v>
      </c>
      <c r="J18" s="13">
        <f>SUMIF(Mercado_Receita!$T$2:$T$345,"44470B2Energia horáriaRuralNão se aplicaNão se aplicaNão se aplicaIntermediário",Mercado_Receita!$N$2:$N$345)</f>
        <v>0</v>
      </c>
      <c r="K18" s="13">
        <f>SUMIF(Mercado_Receita!$T$2:$T$345,"44501B2Energia horáriaRuralNão se aplicaNão se aplicaNão se aplicaIntermediário",Mercado_Receita!$N$2:$N$345)</f>
        <v>0</v>
      </c>
      <c r="L18" s="13">
        <f>SUMIF(Mercado_Receita!$T$2:$T$345,"44531B2Energia horáriaRuralNão se aplicaNão se aplicaNão se aplicaIntermediário",Mercado_Receita!$N$2:$N$345)</f>
        <v>0</v>
      </c>
      <c r="M18" s="13">
        <f>SUMIF(Mercado_Receita!$T$2:$T$345,"44562B2Energia horáriaRuralNão se aplicaNão se aplicaNão se aplicaIntermediário",Mercado_Receita!$N$2:$N$345)</f>
        <v>0</v>
      </c>
      <c r="N18" s="13">
        <f>SUMIF(Mercado_Receita!$T$2:$T$345,"44593B2Energia horáriaRuralNão se aplicaNão se aplicaNão se aplicaIntermediário",Mercado_Receita!$N$2:$N$345)</f>
        <v>0</v>
      </c>
      <c r="O18" s="13">
        <f>SUMIF(Mercado_Receita!$T$2:$T$345,"44621B2Energia horáriaRuralNão se aplicaNão se aplicaNão se aplicaIntermediário",Mercado_Receita!$N$2:$N$345)</f>
        <v>0</v>
      </c>
      <c r="P18" s="13">
        <f>SUMIF(Mercado_Receita!$T$2:$T$345,"44652B2Energia horáriaRuralNão se aplicaNão se aplicaNão se aplicaIntermediário",Mercado_Receita!$N$2:$N$345)</f>
        <v>0</v>
      </c>
      <c r="Q18" s="13">
        <f>SUMIF(Mercado_Receita!$T$2:$T$345,"44682B2Energia horáriaRuralNão se aplicaNão se aplicaNão se aplicaIntermediário",Mercado_Receita!$N$2:$N$345)</f>
        <v>0</v>
      </c>
      <c r="R18" s="13">
        <f>SUMIF(Mercado_Receita!$T$2:$T$345,"44713B2Energia horáriaRuralNão se aplicaNão se aplicaNão se aplicaIntermediário",Mercado_Receita!$N$2:$N$345)</f>
        <v>0</v>
      </c>
      <c r="S18" s="13">
        <f>SUMIF(Mercado_Receita!$T$2:$T$345,"44743B2Energia horáriaRuralNão se aplicaNão se aplicaNão se aplicaIntermediário",Mercado_Receita!$N$2:$N$345)</f>
        <v>0</v>
      </c>
      <c r="T18" s="13">
        <f>SUMIF(Mercado_Receita!$T$2:$T$345,"44774B2Energia horáriaRuralNão se aplicaNão se aplicaNão se aplicaIntermediário",Mercado_Receita!$N$2:$N$345)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75"/>
      <c r="B19" s="75"/>
      <c r="C19" s="75"/>
      <c r="D19" s="75"/>
      <c r="E19" s="75"/>
      <c r="F19" s="75"/>
      <c r="G19" s="13" t="s">
        <v>72</v>
      </c>
      <c r="H19" s="13" t="s">
        <v>70</v>
      </c>
      <c r="I19" s="13">
        <f>SUMIF(Mercado_Receita!$T$2:$T$345,"44440B2Energia horáriaRuralNão se aplicaNão se aplicaNão se aplicaFora ponta",Mercado_Receita!$N$2:$N$345)</f>
        <v>0</v>
      </c>
      <c r="J19" s="13">
        <f>SUMIF(Mercado_Receita!$T$2:$T$345,"44470B2Energia horáriaRuralNão se aplicaNão se aplicaNão se aplicaFora ponta",Mercado_Receita!$N$2:$N$345)</f>
        <v>0</v>
      </c>
      <c r="K19" s="13">
        <f>SUMIF(Mercado_Receita!$T$2:$T$345,"44501B2Energia horáriaRuralNão se aplicaNão se aplicaNão se aplicaFora ponta",Mercado_Receita!$N$2:$N$345)</f>
        <v>0</v>
      </c>
      <c r="L19" s="13">
        <f>SUMIF(Mercado_Receita!$T$2:$T$345,"44531B2Energia horáriaRuralNão se aplicaNão se aplicaNão se aplicaFora ponta",Mercado_Receita!$N$2:$N$345)</f>
        <v>0</v>
      </c>
      <c r="M19" s="13">
        <f>SUMIF(Mercado_Receita!$T$2:$T$345,"44562B2Energia horáriaRuralNão se aplicaNão se aplicaNão se aplicaFora ponta",Mercado_Receita!$N$2:$N$345)</f>
        <v>0</v>
      </c>
      <c r="N19" s="13">
        <f>SUMIF(Mercado_Receita!$T$2:$T$345,"44593B2Energia horáriaRuralNão se aplicaNão se aplicaNão se aplicaFora ponta",Mercado_Receita!$N$2:$N$345)</f>
        <v>0</v>
      </c>
      <c r="O19" s="13">
        <f>SUMIF(Mercado_Receita!$T$2:$T$345,"44621B2Energia horáriaRuralNão se aplicaNão se aplicaNão se aplicaFora ponta",Mercado_Receita!$N$2:$N$345)</f>
        <v>0</v>
      </c>
      <c r="P19" s="13">
        <f>SUMIF(Mercado_Receita!$T$2:$T$345,"44652B2Energia horáriaRuralNão se aplicaNão se aplicaNão se aplicaFora ponta",Mercado_Receita!$N$2:$N$345)</f>
        <v>0</v>
      </c>
      <c r="Q19" s="13">
        <f>SUMIF(Mercado_Receita!$T$2:$T$345,"44682B2Energia horáriaRuralNão se aplicaNão se aplicaNão se aplicaFora ponta",Mercado_Receita!$N$2:$N$345)</f>
        <v>0</v>
      </c>
      <c r="R19" s="13">
        <f>SUMIF(Mercado_Receita!$T$2:$T$345,"44713B2Energia horáriaRuralNão se aplicaNão se aplicaNão se aplicaFora ponta",Mercado_Receita!$N$2:$N$345)</f>
        <v>0</v>
      </c>
      <c r="S19" s="13">
        <f>SUMIF(Mercado_Receita!$T$2:$T$345,"44743B2Energia horáriaRuralNão se aplicaNão se aplicaNão se aplicaFora ponta",Mercado_Receita!$N$2:$N$345)</f>
        <v>0</v>
      </c>
      <c r="T19" s="13">
        <f>SUMIF(Mercado_Receita!$T$2:$T$345,"44774B2Energia horáriaRuralNão se aplicaNão se aplicaNão se aplicaFora ponta",Mercado_Receita!$N$2:$N$345)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75"/>
      <c r="B20" s="12" t="s">
        <v>84</v>
      </c>
      <c r="C20" s="12" t="s">
        <v>41</v>
      </c>
      <c r="D20" s="12" t="s">
        <v>25</v>
      </c>
      <c r="E20" s="12" t="s">
        <v>25</v>
      </c>
      <c r="F20" s="12" t="s">
        <v>25</v>
      </c>
      <c r="G20" s="13" t="s">
        <v>77</v>
      </c>
      <c r="H20" s="13" t="s">
        <v>70</v>
      </c>
      <c r="I20" s="13">
        <f>SUMIF(Mercado_Receita!$T$2:$T$345,"44440B2Energia convencionalRuralNão se aplicaNão se aplicaNão se aplicaNão se aplica",Mercado_Receita!$N$2:$N$345)</f>
        <v>278.78999999999996</v>
      </c>
      <c r="J20" s="13">
        <f>SUMIF(Mercado_Receita!$T$2:$T$345,"44470B2Energia convencionalRuralNão se aplicaNão se aplicaNão se aplicaNão se aplica",Mercado_Receita!$N$2:$N$345)</f>
        <v>239.21199999999999</v>
      </c>
      <c r="K20" s="13">
        <f>SUMIF(Mercado_Receita!$T$2:$T$345,"44501B2Energia convencionalRuralNão se aplicaNão se aplicaNão se aplicaNão se aplica",Mercado_Receita!$N$2:$N$345)</f>
        <v>270.37900000000002</v>
      </c>
      <c r="L20" s="13">
        <f>SUMIF(Mercado_Receita!$T$2:$T$345,"44531B2Energia convencionalRuralNão se aplicaNão se aplicaNão se aplicaNão se aplica",Mercado_Receita!$N$2:$N$345)</f>
        <v>314.57400000000001</v>
      </c>
      <c r="M20" s="13">
        <f>SUMIF(Mercado_Receita!$T$2:$T$345,"44562B2Energia convencionalRuralNão se aplicaNão se aplicaNão se aplicaNão se aplica",Mercado_Receita!$N$2:$N$345)</f>
        <v>343.666</v>
      </c>
      <c r="N20" s="13">
        <f>SUMIF(Mercado_Receita!$T$2:$T$345,"44593B2Energia convencionalRuralNão se aplicaNão se aplicaNão se aplicaNão se aplica",Mercado_Receita!$N$2:$N$345)</f>
        <v>281.56900000000002</v>
      </c>
      <c r="O20" s="13">
        <f>SUMIF(Mercado_Receita!$T$2:$T$345,"44621B2Energia convencionalRuralNão se aplicaNão se aplicaNão se aplicaNão se aplica",Mercado_Receita!$N$2:$N$345)</f>
        <v>274.07600000000002</v>
      </c>
      <c r="P20" s="13">
        <f>SUMIF(Mercado_Receita!$T$2:$T$345,"44652B2Energia convencionalRuralNão se aplicaNão se aplicaNão se aplicaNão se aplica",Mercado_Receita!$N$2:$N$345)</f>
        <v>269.07799999999997</v>
      </c>
      <c r="Q20" s="13">
        <f>SUMIF(Mercado_Receita!$T$2:$T$345,"44682B2Energia convencionalRuralNão se aplicaNão se aplicaNão se aplicaNão se aplica",Mercado_Receita!$N$2:$N$345)</f>
        <v>241.43599999999998</v>
      </c>
      <c r="R20" s="13">
        <f>SUMIF(Mercado_Receita!$T$2:$T$345,"44713B2Energia convencionalRuralNão se aplicaNão se aplicaNão se aplicaNão se aplica",Mercado_Receita!$N$2:$N$345)</f>
        <v>279.721</v>
      </c>
      <c r="S20" s="13">
        <f>SUMIF(Mercado_Receita!$T$2:$T$345,"44743B2Energia convencionalRuralNão se aplicaNão se aplicaNão se aplicaNão se aplica",Mercado_Receita!$N$2:$N$345)</f>
        <v>233.857</v>
      </c>
      <c r="T20" s="13">
        <f>SUMIF(Mercado_Receita!$T$2:$T$345,"44774B2Energia convencionalRuralNão se aplicaNão se aplicaNão se aplicaNão se aplica",Mercado_Receita!$N$2:$N$345)</f>
        <v>257.06200000000001</v>
      </c>
      <c r="U20" s="13">
        <f t="shared" si="0"/>
        <v>3283.42</v>
      </c>
      <c r="V20" s="13"/>
      <c r="W20" s="13"/>
    </row>
    <row r="21" spans="1:23" ht="11.25" customHeight="1" x14ac:dyDescent="0.25">
      <c r="A21" s="75"/>
      <c r="B21" s="74" t="s">
        <v>69</v>
      </c>
      <c r="C21" s="74" t="s">
        <v>41</v>
      </c>
      <c r="D21" s="74" t="s">
        <v>88</v>
      </c>
      <c r="E21" s="74" t="s">
        <v>25</v>
      </c>
      <c r="F21" s="74" t="s">
        <v>25</v>
      </c>
      <c r="G21" s="13" t="s">
        <v>71</v>
      </c>
      <c r="H21" s="13" t="s">
        <v>70</v>
      </c>
      <c r="I21" s="13">
        <f>SUMIF(Mercado_Receita!$T$2:$T$345,"44440B2Energia horáriaRuralCooperativa de eletrificação ruralNão se aplicaNão se aplicaPonta",Mercado_Receita!$N$2:$N$345)</f>
        <v>0</v>
      </c>
      <c r="J21" s="13">
        <f>SUMIF(Mercado_Receita!$T$2:$T$345,"44470B2Energia horáriaRuralCooperativa de eletrificação ruralNão se aplicaNão se aplicaPonta",Mercado_Receita!$N$2:$N$345)</f>
        <v>0</v>
      </c>
      <c r="K21" s="13">
        <f>SUMIF(Mercado_Receita!$T$2:$T$345,"44501B2Energia horáriaRuralCooperativa de eletrificação ruralNão se aplicaNão se aplicaPonta",Mercado_Receita!$N$2:$N$345)</f>
        <v>0</v>
      </c>
      <c r="L21" s="13">
        <f>SUMIF(Mercado_Receita!$T$2:$T$345,"44531B2Energia horáriaRuralCooperativa de eletrificação ruralNão se aplicaNão se aplicaPonta",Mercado_Receita!$N$2:$N$345)</f>
        <v>0</v>
      </c>
      <c r="M21" s="13">
        <f>SUMIF(Mercado_Receita!$T$2:$T$345,"44562B2Energia horáriaRuralCooperativa de eletrificação ruralNão se aplicaNão se aplicaPonta",Mercado_Receita!$N$2:$N$345)</f>
        <v>0</v>
      </c>
      <c r="N21" s="13">
        <f>SUMIF(Mercado_Receita!$T$2:$T$345,"44593B2Energia horáriaRuralCooperativa de eletrificação ruralNão se aplicaNão se aplicaPonta",Mercado_Receita!$N$2:$N$345)</f>
        <v>0</v>
      </c>
      <c r="O21" s="13">
        <f>SUMIF(Mercado_Receita!$T$2:$T$345,"44621B2Energia horáriaRuralCooperativa de eletrificação ruralNão se aplicaNão se aplicaPonta",Mercado_Receita!$N$2:$N$345)</f>
        <v>0</v>
      </c>
      <c r="P21" s="13">
        <f>SUMIF(Mercado_Receita!$T$2:$T$345,"44652B2Energia horáriaRuralCooperativa de eletrificação ruralNão se aplicaNão se aplicaPonta",Mercado_Receita!$N$2:$N$345)</f>
        <v>0</v>
      </c>
      <c r="Q21" s="13">
        <f>SUMIF(Mercado_Receita!$T$2:$T$345,"44682B2Energia horáriaRuralCooperativa de eletrificação ruralNão se aplicaNão se aplicaPonta",Mercado_Receita!$N$2:$N$345)</f>
        <v>0</v>
      </c>
      <c r="R21" s="13">
        <f>SUMIF(Mercado_Receita!$T$2:$T$345,"44713B2Energia horáriaRuralCooperativa de eletrificação ruralNão se aplicaNão se aplicaPonta",Mercado_Receita!$N$2:$N$345)</f>
        <v>0</v>
      </c>
      <c r="S21" s="13">
        <f>SUMIF(Mercado_Receita!$T$2:$T$345,"44743B2Energia horáriaRuralCooperativa de eletrificação ruralNão se aplicaNão se aplicaPonta",Mercado_Receita!$N$2:$N$345)</f>
        <v>0</v>
      </c>
      <c r="T21" s="13">
        <f>SUMIF(Mercado_Receita!$T$2:$T$345,"44774B2Energia horáriaRuralCooperativa de eletrificação ruralNão se aplicaNão se aplicaPonta",Mercado_Receita!$N$2:$N$345)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75"/>
      <c r="B22" s="75"/>
      <c r="C22" s="75"/>
      <c r="D22" s="75"/>
      <c r="E22" s="75"/>
      <c r="F22" s="75"/>
      <c r="G22" s="13" t="s">
        <v>83</v>
      </c>
      <c r="H22" s="13" t="s">
        <v>70</v>
      </c>
      <c r="I22" s="13">
        <f>SUMIF(Mercado_Receita!$T$2:$T$345,"44440B2Energia horáriaRuralCooperativa de eletrificação ruralNão se aplicaNão se aplicaIntermediário",Mercado_Receita!$N$2:$N$345)</f>
        <v>0</v>
      </c>
      <c r="J22" s="13">
        <f>SUMIF(Mercado_Receita!$T$2:$T$345,"44470B2Energia horáriaRuralCooperativa de eletrificação ruralNão se aplicaNão se aplicaIntermediário",Mercado_Receita!$N$2:$N$345)</f>
        <v>0</v>
      </c>
      <c r="K22" s="13">
        <f>SUMIF(Mercado_Receita!$T$2:$T$345,"44501B2Energia horáriaRuralCooperativa de eletrificação ruralNão se aplicaNão se aplicaIntermediário",Mercado_Receita!$N$2:$N$345)</f>
        <v>0</v>
      </c>
      <c r="L22" s="13">
        <f>SUMIF(Mercado_Receita!$T$2:$T$345,"44531B2Energia horáriaRuralCooperativa de eletrificação ruralNão se aplicaNão se aplicaIntermediário",Mercado_Receita!$N$2:$N$345)</f>
        <v>0</v>
      </c>
      <c r="M22" s="13">
        <f>SUMIF(Mercado_Receita!$T$2:$T$345,"44562B2Energia horáriaRuralCooperativa de eletrificação ruralNão se aplicaNão se aplicaIntermediário",Mercado_Receita!$N$2:$N$345)</f>
        <v>0</v>
      </c>
      <c r="N22" s="13">
        <f>SUMIF(Mercado_Receita!$T$2:$T$345,"44593B2Energia horáriaRuralCooperativa de eletrificação ruralNão se aplicaNão se aplicaIntermediário",Mercado_Receita!$N$2:$N$345)</f>
        <v>0</v>
      </c>
      <c r="O22" s="13">
        <f>SUMIF(Mercado_Receita!$T$2:$T$345,"44621B2Energia horáriaRuralCooperativa de eletrificação ruralNão se aplicaNão se aplicaIntermediário",Mercado_Receita!$N$2:$N$345)</f>
        <v>0</v>
      </c>
      <c r="P22" s="13">
        <f>SUMIF(Mercado_Receita!$T$2:$T$345,"44652B2Energia horáriaRuralCooperativa de eletrificação ruralNão se aplicaNão se aplicaIntermediário",Mercado_Receita!$N$2:$N$345)</f>
        <v>0</v>
      </c>
      <c r="Q22" s="13">
        <f>SUMIF(Mercado_Receita!$T$2:$T$345,"44682B2Energia horáriaRuralCooperativa de eletrificação ruralNão se aplicaNão se aplicaIntermediário",Mercado_Receita!$N$2:$N$345)</f>
        <v>0</v>
      </c>
      <c r="R22" s="13">
        <f>SUMIF(Mercado_Receita!$T$2:$T$345,"44713B2Energia horáriaRuralCooperativa de eletrificação ruralNão se aplicaNão se aplicaIntermediário",Mercado_Receita!$N$2:$N$345)</f>
        <v>0</v>
      </c>
      <c r="S22" s="13">
        <f>SUMIF(Mercado_Receita!$T$2:$T$345,"44743B2Energia horáriaRuralCooperativa de eletrificação ruralNão se aplicaNão se aplicaIntermediário",Mercado_Receita!$N$2:$N$345)</f>
        <v>0</v>
      </c>
      <c r="T22" s="13">
        <f>SUMIF(Mercado_Receita!$T$2:$T$345,"44774B2Energia horáriaRuralCooperativa de eletrificação ruralNão se aplicaNão se aplicaIntermediário",Mercado_Receita!$N$2:$N$345)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75"/>
      <c r="B23" s="75"/>
      <c r="C23" s="75"/>
      <c r="D23" s="75"/>
      <c r="E23" s="75"/>
      <c r="F23" s="75"/>
      <c r="G23" s="13" t="s">
        <v>72</v>
      </c>
      <c r="H23" s="13" t="s">
        <v>70</v>
      </c>
      <c r="I23" s="13">
        <f>SUMIF(Mercado_Receita!$T$2:$T$345,"44440B2Energia horáriaRuralCooperativa de eletrificação ruralNão se aplicaNão se aplicaFora ponta",Mercado_Receita!$N$2:$N$345)</f>
        <v>0</v>
      </c>
      <c r="J23" s="13">
        <f>SUMIF(Mercado_Receita!$T$2:$T$345,"44470B2Energia horáriaRuralCooperativa de eletrificação ruralNão se aplicaNão se aplicaFora ponta",Mercado_Receita!$N$2:$N$345)</f>
        <v>0</v>
      </c>
      <c r="K23" s="13">
        <f>SUMIF(Mercado_Receita!$T$2:$T$345,"44501B2Energia horáriaRuralCooperativa de eletrificação ruralNão se aplicaNão se aplicaFora ponta",Mercado_Receita!$N$2:$N$345)</f>
        <v>0</v>
      </c>
      <c r="L23" s="13">
        <f>SUMIF(Mercado_Receita!$T$2:$T$345,"44531B2Energia horáriaRuralCooperativa de eletrificação ruralNão se aplicaNão se aplicaFora ponta",Mercado_Receita!$N$2:$N$345)</f>
        <v>0</v>
      </c>
      <c r="M23" s="13">
        <f>SUMIF(Mercado_Receita!$T$2:$T$345,"44562B2Energia horáriaRuralCooperativa de eletrificação ruralNão se aplicaNão se aplicaFora ponta",Mercado_Receita!$N$2:$N$345)</f>
        <v>0</v>
      </c>
      <c r="N23" s="13">
        <f>SUMIF(Mercado_Receita!$T$2:$T$345,"44593B2Energia horáriaRuralCooperativa de eletrificação ruralNão se aplicaNão se aplicaFora ponta",Mercado_Receita!$N$2:$N$345)</f>
        <v>0</v>
      </c>
      <c r="O23" s="13">
        <f>SUMIF(Mercado_Receita!$T$2:$T$345,"44621B2Energia horáriaRuralCooperativa de eletrificação ruralNão se aplicaNão se aplicaFora ponta",Mercado_Receita!$N$2:$N$345)</f>
        <v>0</v>
      </c>
      <c r="P23" s="13">
        <f>SUMIF(Mercado_Receita!$T$2:$T$345,"44652B2Energia horáriaRuralCooperativa de eletrificação ruralNão se aplicaNão se aplicaFora ponta",Mercado_Receita!$N$2:$N$345)</f>
        <v>0</v>
      </c>
      <c r="Q23" s="13">
        <f>SUMIF(Mercado_Receita!$T$2:$T$345,"44682B2Energia horáriaRuralCooperativa de eletrificação ruralNão se aplicaNão se aplicaFora ponta",Mercado_Receita!$N$2:$N$345)</f>
        <v>0</v>
      </c>
      <c r="R23" s="13">
        <f>SUMIF(Mercado_Receita!$T$2:$T$345,"44713B2Energia horáriaRuralCooperativa de eletrificação ruralNão se aplicaNão se aplicaFora ponta",Mercado_Receita!$N$2:$N$345)</f>
        <v>0</v>
      </c>
      <c r="S23" s="13">
        <f>SUMIF(Mercado_Receita!$T$2:$T$345,"44743B2Energia horáriaRuralCooperativa de eletrificação ruralNão se aplicaNão se aplicaFora ponta",Mercado_Receita!$N$2:$N$345)</f>
        <v>0</v>
      </c>
      <c r="T23" s="13">
        <f>SUMIF(Mercado_Receita!$T$2:$T$345,"44774B2Energia horáriaRuralCooperativa de eletrificação ruralNão se aplicaNão se aplicaFora ponta",Mercado_Receita!$N$2:$N$345)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75"/>
      <c r="B24" s="12" t="s">
        <v>84</v>
      </c>
      <c r="C24" s="12" t="s">
        <v>41</v>
      </c>
      <c r="D24" s="12" t="s">
        <v>88</v>
      </c>
      <c r="E24" s="12" t="s">
        <v>25</v>
      </c>
      <c r="F24" s="12" t="s">
        <v>25</v>
      </c>
      <c r="G24" s="13" t="s">
        <v>77</v>
      </c>
      <c r="H24" s="13" t="s">
        <v>70</v>
      </c>
      <c r="I24" s="13">
        <f>SUMIF(Mercado_Receita!$T$2:$T$345,"44440B2Energia convencionalRuralCooperativa de eletrificação ruralNão se aplicaNão se aplicaNão se aplica",Mercado_Receita!$N$2:$N$345)</f>
        <v>0</v>
      </c>
      <c r="J24" s="13">
        <f>SUMIF(Mercado_Receita!$T$2:$T$345,"44470B2Energia convencionalRuralCooperativa de eletrificação ruralNão se aplicaNão se aplicaNão se aplica",Mercado_Receita!$N$2:$N$345)</f>
        <v>0</v>
      </c>
      <c r="K24" s="13">
        <f>SUMIF(Mercado_Receita!$T$2:$T$345,"44501B2Energia convencionalRuralCooperativa de eletrificação ruralNão se aplicaNão se aplicaNão se aplica",Mercado_Receita!$N$2:$N$345)</f>
        <v>0</v>
      </c>
      <c r="L24" s="13">
        <f>SUMIF(Mercado_Receita!$T$2:$T$345,"44531B2Energia convencionalRuralCooperativa de eletrificação ruralNão se aplicaNão se aplicaNão se aplica",Mercado_Receita!$N$2:$N$345)</f>
        <v>0</v>
      </c>
      <c r="M24" s="13">
        <f>SUMIF(Mercado_Receita!$T$2:$T$345,"44562B2Energia convencionalRuralCooperativa de eletrificação ruralNão se aplicaNão se aplicaNão se aplica",Mercado_Receita!$N$2:$N$345)</f>
        <v>0</v>
      </c>
      <c r="N24" s="13">
        <f>SUMIF(Mercado_Receita!$T$2:$T$345,"44593B2Energia convencionalRuralCooperativa de eletrificação ruralNão se aplicaNão se aplicaNão se aplica",Mercado_Receita!$N$2:$N$345)</f>
        <v>0</v>
      </c>
      <c r="O24" s="13">
        <f>SUMIF(Mercado_Receita!$T$2:$T$345,"44621B2Energia convencionalRuralCooperativa de eletrificação ruralNão se aplicaNão se aplicaNão se aplica",Mercado_Receita!$N$2:$N$345)</f>
        <v>0</v>
      </c>
      <c r="P24" s="13">
        <f>SUMIF(Mercado_Receita!$T$2:$T$345,"44652B2Energia convencionalRuralCooperativa de eletrificação ruralNão se aplicaNão se aplicaNão se aplica",Mercado_Receita!$N$2:$N$345)</f>
        <v>0</v>
      </c>
      <c r="Q24" s="13">
        <f>SUMIF(Mercado_Receita!$T$2:$T$345,"44682B2Energia convencionalRuralCooperativa de eletrificação ruralNão se aplicaNão se aplicaNão se aplica",Mercado_Receita!$N$2:$N$345)</f>
        <v>0</v>
      </c>
      <c r="R24" s="13">
        <f>SUMIF(Mercado_Receita!$T$2:$T$345,"44713B2Energia convencionalRuralCooperativa de eletrificação ruralNão se aplicaNão se aplicaNão se aplica",Mercado_Receita!$N$2:$N$345)</f>
        <v>0</v>
      </c>
      <c r="S24" s="13">
        <f>SUMIF(Mercado_Receita!$T$2:$T$345,"44743B2Energia convencionalRuralCooperativa de eletrificação ruralNão se aplicaNão se aplicaNão se aplica",Mercado_Receita!$N$2:$N$345)</f>
        <v>0</v>
      </c>
      <c r="T24" s="13">
        <f>SUMIF(Mercado_Receita!$T$2:$T$345,"44774B2Energia convencionalRuralCooperativa de eletrificação ruralNão se aplicaNão se aplicaNão se aplica",Mercado_Receita!$N$2:$N$345)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75"/>
      <c r="B25" s="74" t="s">
        <v>69</v>
      </c>
      <c r="C25" s="74" t="s">
        <v>41</v>
      </c>
      <c r="D25" s="74" t="s">
        <v>89</v>
      </c>
      <c r="E25" s="74" t="s">
        <v>25</v>
      </c>
      <c r="F25" s="74" t="s">
        <v>25</v>
      </c>
      <c r="G25" s="13" t="s">
        <v>71</v>
      </c>
      <c r="H25" s="13" t="s">
        <v>70</v>
      </c>
      <c r="I25" s="13">
        <f>SUMIF(Mercado_Receita!$T$2:$T$345,"44440B2Energia horáriaRuralServiço público de irrigação ruralNão se aplicaNão se aplicaPonta",Mercado_Receita!$N$2:$N$345)</f>
        <v>0</v>
      </c>
      <c r="J25" s="13">
        <f>SUMIF(Mercado_Receita!$T$2:$T$345,"44470B2Energia horáriaRuralServiço público de irrigação ruralNão se aplicaNão se aplicaPonta",Mercado_Receita!$N$2:$N$345)</f>
        <v>0</v>
      </c>
      <c r="K25" s="13">
        <f>SUMIF(Mercado_Receita!$T$2:$T$345,"44501B2Energia horáriaRuralServiço público de irrigação ruralNão se aplicaNão se aplicaPonta",Mercado_Receita!$N$2:$N$345)</f>
        <v>0</v>
      </c>
      <c r="L25" s="13">
        <f>SUMIF(Mercado_Receita!$T$2:$T$345,"44531B2Energia horáriaRuralServiço público de irrigação ruralNão se aplicaNão se aplicaPonta",Mercado_Receita!$N$2:$N$345)</f>
        <v>0</v>
      </c>
      <c r="M25" s="13">
        <f>SUMIF(Mercado_Receita!$T$2:$T$345,"44562B2Energia horáriaRuralServiço público de irrigação ruralNão se aplicaNão se aplicaPonta",Mercado_Receita!$N$2:$N$345)</f>
        <v>0</v>
      </c>
      <c r="N25" s="13">
        <f>SUMIF(Mercado_Receita!$T$2:$T$345,"44593B2Energia horáriaRuralServiço público de irrigação ruralNão se aplicaNão se aplicaPonta",Mercado_Receita!$N$2:$N$345)</f>
        <v>0</v>
      </c>
      <c r="O25" s="13">
        <f>SUMIF(Mercado_Receita!$T$2:$T$345,"44621B2Energia horáriaRuralServiço público de irrigação ruralNão se aplicaNão se aplicaPonta",Mercado_Receita!$N$2:$N$345)</f>
        <v>0</v>
      </c>
      <c r="P25" s="13">
        <f>SUMIF(Mercado_Receita!$T$2:$T$345,"44652B2Energia horáriaRuralServiço público de irrigação ruralNão se aplicaNão se aplicaPonta",Mercado_Receita!$N$2:$N$345)</f>
        <v>0</v>
      </c>
      <c r="Q25" s="13">
        <f>SUMIF(Mercado_Receita!$T$2:$T$345,"44682B2Energia horáriaRuralServiço público de irrigação ruralNão se aplicaNão se aplicaPonta",Mercado_Receita!$N$2:$N$345)</f>
        <v>0</v>
      </c>
      <c r="R25" s="13">
        <f>SUMIF(Mercado_Receita!$T$2:$T$345,"44713B2Energia horáriaRuralServiço público de irrigação ruralNão se aplicaNão se aplicaPonta",Mercado_Receita!$N$2:$N$345)</f>
        <v>0</v>
      </c>
      <c r="S25" s="13">
        <f>SUMIF(Mercado_Receita!$T$2:$T$345,"44743B2Energia horáriaRuralServiço público de irrigação ruralNão se aplicaNão se aplicaPonta",Mercado_Receita!$N$2:$N$345)</f>
        <v>0</v>
      </c>
      <c r="T25" s="13">
        <f>SUMIF(Mercado_Receita!$T$2:$T$345,"44774B2Energia horáriaRuralServiço público de irrigação ruralNão se aplicaNão se aplicaPonta",Mercado_Receita!$N$2:$N$345)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75"/>
      <c r="B26" s="75"/>
      <c r="C26" s="75"/>
      <c r="D26" s="75"/>
      <c r="E26" s="75"/>
      <c r="F26" s="75"/>
      <c r="G26" s="13" t="s">
        <v>83</v>
      </c>
      <c r="H26" s="13" t="s">
        <v>70</v>
      </c>
      <c r="I26" s="13">
        <f>SUMIF(Mercado_Receita!$T$2:$T$345,"44440B2Energia horáriaRuralServiço público de irrigação ruralNão se aplicaNão se aplicaIntermediário",Mercado_Receita!$N$2:$N$345)</f>
        <v>0</v>
      </c>
      <c r="J26" s="13">
        <f>SUMIF(Mercado_Receita!$T$2:$T$345,"44470B2Energia horáriaRuralServiço público de irrigação ruralNão se aplicaNão se aplicaIntermediário",Mercado_Receita!$N$2:$N$345)</f>
        <v>0</v>
      </c>
      <c r="K26" s="13">
        <f>SUMIF(Mercado_Receita!$T$2:$T$345,"44501B2Energia horáriaRuralServiço público de irrigação ruralNão se aplicaNão se aplicaIntermediário",Mercado_Receita!$N$2:$N$345)</f>
        <v>0</v>
      </c>
      <c r="L26" s="13">
        <f>SUMIF(Mercado_Receita!$T$2:$T$345,"44531B2Energia horáriaRuralServiço público de irrigação ruralNão se aplicaNão se aplicaIntermediário",Mercado_Receita!$N$2:$N$345)</f>
        <v>0</v>
      </c>
      <c r="M26" s="13">
        <f>SUMIF(Mercado_Receita!$T$2:$T$345,"44562B2Energia horáriaRuralServiço público de irrigação ruralNão se aplicaNão se aplicaIntermediário",Mercado_Receita!$N$2:$N$345)</f>
        <v>0</v>
      </c>
      <c r="N26" s="13">
        <f>SUMIF(Mercado_Receita!$T$2:$T$345,"44593B2Energia horáriaRuralServiço público de irrigação ruralNão se aplicaNão se aplicaIntermediário",Mercado_Receita!$N$2:$N$345)</f>
        <v>0</v>
      </c>
      <c r="O26" s="13">
        <f>SUMIF(Mercado_Receita!$T$2:$T$345,"44621B2Energia horáriaRuralServiço público de irrigação ruralNão se aplicaNão se aplicaIntermediário",Mercado_Receita!$N$2:$N$345)</f>
        <v>0</v>
      </c>
      <c r="P26" s="13">
        <f>SUMIF(Mercado_Receita!$T$2:$T$345,"44652B2Energia horáriaRuralServiço público de irrigação ruralNão se aplicaNão se aplicaIntermediário",Mercado_Receita!$N$2:$N$345)</f>
        <v>0</v>
      </c>
      <c r="Q26" s="13">
        <f>SUMIF(Mercado_Receita!$T$2:$T$345,"44682B2Energia horáriaRuralServiço público de irrigação ruralNão se aplicaNão se aplicaIntermediário",Mercado_Receita!$N$2:$N$345)</f>
        <v>0</v>
      </c>
      <c r="R26" s="13">
        <f>SUMIF(Mercado_Receita!$T$2:$T$345,"44713B2Energia horáriaRuralServiço público de irrigação ruralNão se aplicaNão se aplicaIntermediário",Mercado_Receita!$N$2:$N$345)</f>
        <v>0</v>
      </c>
      <c r="S26" s="13">
        <f>SUMIF(Mercado_Receita!$T$2:$T$345,"44743B2Energia horáriaRuralServiço público de irrigação ruralNão se aplicaNão se aplicaIntermediário",Mercado_Receita!$N$2:$N$345)</f>
        <v>0</v>
      </c>
      <c r="T26" s="13">
        <f>SUMIF(Mercado_Receita!$T$2:$T$345,"44774B2Energia horáriaRuralServiço público de irrigação ruralNão se aplicaNão se aplicaIntermediário",Mercado_Receita!$N$2:$N$345)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5"/>
      <c r="B27" s="75"/>
      <c r="C27" s="75"/>
      <c r="D27" s="75"/>
      <c r="E27" s="75"/>
      <c r="F27" s="75"/>
      <c r="G27" s="13" t="s">
        <v>72</v>
      </c>
      <c r="H27" s="13" t="s">
        <v>70</v>
      </c>
      <c r="I27" s="13">
        <f>SUMIF(Mercado_Receita!$T$2:$T$345,"44440B2Energia horáriaRuralServiço público de irrigação ruralNão se aplicaNão se aplicaFora ponta",Mercado_Receita!$N$2:$N$345)</f>
        <v>0</v>
      </c>
      <c r="J27" s="13">
        <f>SUMIF(Mercado_Receita!$T$2:$T$345,"44470B2Energia horáriaRuralServiço público de irrigação ruralNão se aplicaNão se aplicaFora ponta",Mercado_Receita!$N$2:$N$345)</f>
        <v>0</v>
      </c>
      <c r="K27" s="13">
        <f>SUMIF(Mercado_Receita!$T$2:$T$345,"44501B2Energia horáriaRuralServiço público de irrigação ruralNão se aplicaNão se aplicaFora ponta",Mercado_Receita!$N$2:$N$345)</f>
        <v>0</v>
      </c>
      <c r="L27" s="13">
        <f>SUMIF(Mercado_Receita!$T$2:$T$345,"44531B2Energia horáriaRuralServiço público de irrigação ruralNão se aplicaNão se aplicaFora ponta",Mercado_Receita!$N$2:$N$345)</f>
        <v>0</v>
      </c>
      <c r="M27" s="13">
        <f>SUMIF(Mercado_Receita!$T$2:$T$345,"44562B2Energia horáriaRuralServiço público de irrigação ruralNão se aplicaNão se aplicaFora ponta",Mercado_Receita!$N$2:$N$345)</f>
        <v>0</v>
      </c>
      <c r="N27" s="13">
        <f>SUMIF(Mercado_Receita!$T$2:$T$345,"44593B2Energia horáriaRuralServiço público de irrigação ruralNão se aplicaNão se aplicaFora ponta",Mercado_Receita!$N$2:$N$345)</f>
        <v>0</v>
      </c>
      <c r="O27" s="13">
        <f>SUMIF(Mercado_Receita!$T$2:$T$345,"44621B2Energia horáriaRuralServiço público de irrigação ruralNão se aplicaNão se aplicaFora ponta",Mercado_Receita!$N$2:$N$345)</f>
        <v>0</v>
      </c>
      <c r="P27" s="13">
        <f>SUMIF(Mercado_Receita!$T$2:$T$345,"44652B2Energia horáriaRuralServiço público de irrigação ruralNão se aplicaNão se aplicaFora ponta",Mercado_Receita!$N$2:$N$345)</f>
        <v>0</v>
      </c>
      <c r="Q27" s="13">
        <f>SUMIF(Mercado_Receita!$T$2:$T$345,"44682B2Energia horáriaRuralServiço público de irrigação ruralNão se aplicaNão se aplicaFora ponta",Mercado_Receita!$N$2:$N$345)</f>
        <v>0</v>
      </c>
      <c r="R27" s="13">
        <f>SUMIF(Mercado_Receita!$T$2:$T$345,"44713B2Energia horáriaRuralServiço público de irrigação ruralNão se aplicaNão se aplicaFora ponta",Mercado_Receita!$N$2:$N$345)</f>
        <v>0</v>
      </c>
      <c r="S27" s="13">
        <f>SUMIF(Mercado_Receita!$T$2:$T$345,"44743B2Energia horáriaRuralServiço público de irrigação ruralNão se aplicaNão se aplicaFora ponta",Mercado_Receita!$N$2:$N$345)</f>
        <v>0</v>
      </c>
      <c r="T27" s="13">
        <f>SUMIF(Mercado_Receita!$T$2:$T$345,"44774B2Energia horáriaRuralServiço público de irrigação ruralNão se aplicaNão se aplicaFora ponta",Mercado_Receita!$N$2:$N$345)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75"/>
      <c r="B28" s="12" t="s">
        <v>84</v>
      </c>
      <c r="C28" s="12" t="s">
        <v>41</v>
      </c>
      <c r="D28" s="12" t="s">
        <v>89</v>
      </c>
      <c r="E28" s="12" t="s">
        <v>25</v>
      </c>
      <c r="F28" s="12" t="s">
        <v>25</v>
      </c>
      <c r="G28" s="13" t="s">
        <v>77</v>
      </c>
      <c r="H28" s="13" t="s">
        <v>70</v>
      </c>
      <c r="I28" s="13">
        <f>SUMIF(Mercado_Receita!$T$2:$T$345,"44440B2Energia convencionalRuralServiço público de irrigação ruralNão se aplicaNão se aplicaNão se aplica",Mercado_Receita!$N$2:$N$345)</f>
        <v>0</v>
      </c>
      <c r="J28" s="13">
        <f>SUMIF(Mercado_Receita!$T$2:$T$345,"44470B2Energia convencionalRuralServiço público de irrigação ruralNão se aplicaNão se aplicaNão se aplica",Mercado_Receita!$N$2:$N$345)</f>
        <v>0</v>
      </c>
      <c r="K28" s="13">
        <f>SUMIF(Mercado_Receita!$T$2:$T$345,"44501B2Energia convencionalRuralServiço público de irrigação ruralNão se aplicaNão se aplicaNão se aplica",Mercado_Receita!$N$2:$N$345)</f>
        <v>0</v>
      </c>
      <c r="L28" s="13">
        <f>SUMIF(Mercado_Receita!$T$2:$T$345,"44531B2Energia convencionalRuralServiço público de irrigação ruralNão se aplicaNão se aplicaNão se aplica",Mercado_Receita!$N$2:$N$345)</f>
        <v>0</v>
      </c>
      <c r="M28" s="13">
        <f>SUMIF(Mercado_Receita!$T$2:$T$345,"44562B2Energia convencionalRuralServiço público de irrigação ruralNão se aplicaNão se aplicaNão se aplica",Mercado_Receita!$N$2:$N$345)</f>
        <v>0</v>
      </c>
      <c r="N28" s="13">
        <f>SUMIF(Mercado_Receita!$T$2:$T$345,"44593B2Energia convencionalRuralServiço público de irrigação ruralNão se aplicaNão se aplicaNão se aplica",Mercado_Receita!$N$2:$N$345)</f>
        <v>0</v>
      </c>
      <c r="O28" s="13">
        <f>SUMIF(Mercado_Receita!$T$2:$T$345,"44621B2Energia convencionalRuralServiço público de irrigação ruralNão se aplicaNão se aplicaNão se aplica",Mercado_Receita!$N$2:$N$345)</f>
        <v>0</v>
      </c>
      <c r="P28" s="13">
        <f>SUMIF(Mercado_Receita!$T$2:$T$345,"44652B2Energia convencionalRuralServiço público de irrigação ruralNão se aplicaNão se aplicaNão se aplica",Mercado_Receita!$N$2:$N$345)</f>
        <v>0</v>
      </c>
      <c r="Q28" s="13">
        <f>SUMIF(Mercado_Receita!$T$2:$T$345,"44682B2Energia convencionalRuralServiço público de irrigação ruralNão se aplicaNão se aplicaNão se aplica",Mercado_Receita!$N$2:$N$345)</f>
        <v>0</v>
      </c>
      <c r="R28" s="13">
        <f>SUMIF(Mercado_Receita!$T$2:$T$345,"44713B2Energia convencionalRuralServiço público de irrigação ruralNão se aplicaNão se aplicaNão se aplica",Mercado_Receita!$N$2:$N$345)</f>
        <v>0</v>
      </c>
      <c r="S28" s="13">
        <f>SUMIF(Mercado_Receita!$T$2:$T$345,"44743B2Energia convencionalRuralServiço público de irrigação ruralNão se aplicaNão se aplicaNão se aplica",Mercado_Receita!$N$2:$N$345)</f>
        <v>0</v>
      </c>
      <c r="T28" s="13">
        <f>SUMIF(Mercado_Receita!$T$2:$T$345,"44774B2Energia convencionalRuralServiço público de irrigação ruralNão se aplicaNão se aplicaNão se aplica",Mercado_Receita!$N$2:$N$345)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75"/>
      <c r="B29" s="74" t="s">
        <v>86</v>
      </c>
      <c r="C29" s="74" t="s">
        <v>41</v>
      </c>
      <c r="D29" s="12" t="s">
        <v>25</v>
      </c>
      <c r="E29" s="12" t="s">
        <v>25</v>
      </c>
      <c r="F29" s="12" t="s">
        <v>25</v>
      </c>
      <c r="G29" s="13" t="s">
        <v>77</v>
      </c>
      <c r="H29" s="13" t="s">
        <v>70</v>
      </c>
      <c r="I29" s="13">
        <f>SUMIF(Mercado_Receita!$T$2:$T$345,"44440B2Energia convencional pré-pagamentoRuralNão se aplicaNão se aplicaNão se aplicaNão se aplica",Mercado_Receita!$N$2:$N$345)</f>
        <v>0</v>
      </c>
      <c r="J29" s="13">
        <f>SUMIF(Mercado_Receita!$T$2:$T$345,"44470B2Energia convencional pré-pagamentoRuralNão se aplicaNão se aplicaNão se aplicaNão se aplica",Mercado_Receita!$N$2:$N$345)</f>
        <v>0</v>
      </c>
      <c r="K29" s="13">
        <f>SUMIF(Mercado_Receita!$T$2:$T$345,"44501B2Energia convencional pré-pagamentoRuralNão se aplicaNão se aplicaNão se aplicaNão se aplica",Mercado_Receita!$N$2:$N$345)</f>
        <v>0</v>
      </c>
      <c r="L29" s="13">
        <f>SUMIF(Mercado_Receita!$T$2:$T$345,"44531B2Energia convencional pré-pagamentoRuralNão se aplicaNão se aplicaNão se aplicaNão se aplica",Mercado_Receita!$N$2:$N$345)</f>
        <v>0</v>
      </c>
      <c r="M29" s="13">
        <f>SUMIF(Mercado_Receita!$T$2:$T$345,"44562B2Energia convencional pré-pagamentoRuralNão se aplicaNão se aplicaNão se aplicaNão se aplica",Mercado_Receita!$N$2:$N$345)</f>
        <v>0</v>
      </c>
      <c r="N29" s="13">
        <f>SUMIF(Mercado_Receita!$T$2:$T$345,"44593B2Energia convencional pré-pagamentoRuralNão se aplicaNão se aplicaNão se aplicaNão se aplica",Mercado_Receita!$N$2:$N$345)</f>
        <v>0</v>
      </c>
      <c r="O29" s="13">
        <f>SUMIF(Mercado_Receita!$T$2:$T$345,"44621B2Energia convencional pré-pagamentoRuralNão se aplicaNão se aplicaNão se aplicaNão se aplica",Mercado_Receita!$N$2:$N$345)</f>
        <v>0</v>
      </c>
      <c r="P29" s="13">
        <f>SUMIF(Mercado_Receita!$T$2:$T$345,"44652B2Energia convencional pré-pagamentoRuralNão se aplicaNão se aplicaNão se aplicaNão se aplica",Mercado_Receita!$N$2:$N$345)</f>
        <v>0</v>
      </c>
      <c r="Q29" s="13">
        <f>SUMIF(Mercado_Receita!$T$2:$T$345,"44682B2Energia convencional pré-pagamentoRuralNão se aplicaNão se aplicaNão se aplicaNão se aplica",Mercado_Receita!$N$2:$N$345)</f>
        <v>0</v>
      </c>
      <c r="R29" s="13">
        <f>SUMIF(Mercado_Receita!$T$2:$T$345,"44713B2Energia convencional pré-pagamentoRuralNão se aplicaNão se aplicaNão se aplicaNão se aplica",Mercado_Receita!$N$2:$N$345)</f>
        <v>0</v>
      </c>
      <c r="S29" s="13">
        <f>SUMIF(Mercado_Receita!$T$2:$T$345,"44743B2Energia convencional pré-pagamentoRuralNão se aplicaNão se aplicaNão se aplicaNão se aplica",Mercado_Receita!$N$2:$N$345)</f>
        <v>0</v>
      </c>
      <c r="T29" s="13">
        <f>SUMIF(Mercado_Receita!$T$2:$T$345,"44774B2Energia convencional pré-pagamentoRuralNão se aplicaNão se aplicaNão se aplicaNão se aplica",Mercado_Receita!$N$2:$N$345)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75"/>
      <c r="B30" s="75"/>
      <c r="C30" s="75"/>
      <c r="D30" s="12" t="s">
        <v>88</v>
      </c>
      <c r="E30" s="12" t="s">
        <v>25</v>
      </c>
      <c r="F30" s="12" t="s">
        <v>25</v>
      </c>
      <c r="G30" s="13" t="s">
        <v>77</v>
      </c>
      <c r="H30" s="13" t="s">
        <v>70</v>
      </c>
      <c r="I30" s="13">
        <f>SUMIF(Mercado_Receita!$T$2:$T$345,"44440B2Energia convencional pré-pagamentoRuralCooperativa de eletrificação ruralNão se aplicaNão se aplicaNão se aplica",Mercado_Receita!$N$2:$N$345)</f>
        <v>0</v>
      </c>
      <c r="J30" s="13">
        <f>SUMIF(Mercado_Receita!$T$2:$T$345,"44470B2Energia convencional pré-pagamentoRuralCooperativa de eletrificação ruralNão se aplicaNão se aplicaNão se aplica",Mercado_Receita!$N$2:$N$345)</f>
        <v>0</v>
      </c>
      <c r="K30" s="13">
        <f>SUMIF(Mercado_Receita!$T$2:$T$345,"44501B2Energia convencional pré-pagamentoRuralCooperativa de eletrificação ruralNão se aplicaNão se aplicaNão se aplica",Mercado_Receita!$N$2:$N$345)</f>
        <v>0</v>
      </c>
      <c r="L30" s="13">
        <f>SUMIF(Mercado_Receita!$T$2:$T$345,"44531B2Energia convencional pré-pagamentoRuralCooperativa de eletrificação ruralNão se aplicaNão se aplicaNão se aplica",Mercado_Receita!$N$2:$N$345)</f>
        <v>0</v>
      </c>
      <c r="M30" s="13">
        <f>SUMIF(Mercado_Receita!$T$2:$T$345,"44562B2Energia convencional pré-pagamentoRuralCooperativa de eletrificação ruralNão se aplicaNão se aplicaNão se aplica",Mercado_Receita!$N$2:$N$345)</f>
        <v>0</v>
      </c>
      <c r="N30" s="13">
        <f>SUMIF(Mercado_Receita!$T$2:$T$345,"44593B2Energia convencional pré-pagamentoRuralCooperativa de eletrificação ruralNão se aplicaNão se aplicaNão se aplica",Mercado_Receita!$N$2:$N$345)</f>
        <v>0</v>
      </c>
      <c r="O30" s="13">
        <f>SUMIF(Mercado_Receita!$T$2:$T$345,"44621B2Energia convencional pré-pagamentoRuralCooperativa de eletrificação ruralNão se aplicaNão se aplicaNão se aplica",Mercado_Receita!$N$2:$N$345)</f>
        <v>0</v>
      </c>
      <c r="P30" s="13">
        <f>SUMIF(Mercado_Receita!$T$2:$T$345,"44652B2Energia convencional pré-pagamentoRuralCooperativa de eletrificação ruralNão se aplicaNão se aplicaNão se aplica",Mercado_Receita!$N$2:$N$345)</f>
        <v>0</v>
      </c>
      <c r="Q30" s="13">
        <f>SUMIF(Mercado_Receita!$T$2:$T$345,"44682B2Energia convencional pré-pagamentoRuralCooperativa de eletrificação ruralNão se aplicaNão se aplicaNão se aplica",Mercado_Receita!$N$2:$N$345)</f>
        <v>0</v>
      </c>
      <c r="R30" s="13">
        <f>SUMIF(Mercado_Receita!$T$2:$T$345,"44713B2Energia convencional pré-pagamentoRuralCooperativa de eletrificação ruralNão se aplicaNão se aplicaNão se aplica",Mercado_Receita!$N$2:$N$345)</f>
        <v>0</v>
      </c>
      <c r="S30" s="13">
        <f>SUMIF(Mercado_Receita!$T$2:$T$345,"44743B2Energia convencional pré-pagamentoRuralCooperativa de eletrificação ruralNão se aplicaNão se aplicaNão se aplica",Mercado_Receita!$N$2:$N$345)</f>
        <v>0</v>
      </c>
      <c r="T30" s="13">
        <f>SUMIF(Mercado_Receita!$T$2:$T$345,"44774B2Energia convencional pré-pagamentoRuralCooperativa de eletrificação ruralNão se aplicaNão se aplicaNão se aplica",Mercado_Receita!$N$2:$N$345)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75"/>
      <c r="B31" s="75"/>
      <c r="C31" s="75"/>
      <c r="D31" s="12" t="s">
        <v>89</v>
      </c>
      <c r="E31" s="12" t="s">
        <v>25</v>
      </c>
      <c r="F31" s="12" t="s">
        <v>25</v>
      </c>
      <c r="G31" s="13" t="s">
        <v>77</v>
      </c>
      <c r="H31" s="13" t="s">
        <v>70</v>
      </c>
      <c r="I31" s="13">
        <f>SUMIF(Mercado_Receita!$T$2:$T$345,"44440B2Energia convencional pré-pagamentoRuralServiço público de irrigação ruralNão se aplicaNão se aplicaNão se aplica",Mercado_Receita!$N$2:$N$345)</f>
        <v>0</v>
      </c>
      <c r="J31" s="13">
        <f>SUMIF(Mercado_Receita!$T$2:$T$345,"44470B2Energia convencional pré-pagamentoRuralServiço público de irrigação ruralNão se aplicaNão se aplicaNão se aplica",Mercado_Receita!$N$2:$N$345)</f>
        <v>0</v>
      </c>
      <c r="K31" s="13">
        <f>SUMIF(Mercado_Receita!$T$2:$T$345,"44501B2Energia convencional pré-pagamentoRuralServiço público de irrigação ruralNão se aplicaNão se aplicaNão se aplica",Mercado_Receita!$N$2:$N$345)</f>
        <v>0</v>
      </c>
      <c r="L31" s="13">
        <f>SUMIF(Mercado_Receita!$T$2:$T$345,"44531B2Energia convencional pré-pagamentoRuralServiço público de irrigação ruralNão se aplicaNão se aplicaNão se aplica",Mercado_Receita!$N$2:$N$345)</f>
        <v>0</v>
      </c>
      <c r="M31" s="13">
        <f>SUMIF(Mercado_Receita!$T$2:$T$345,"44562B2Energia convencional pré-pagamentoRuralServiço público de irrigação ruralNão se aplicaNão se aplicaNão se aplica",Mercado_Receita!$N$2:$N$345)</f>
        <v>0</v>
      </c>
      <c r="N31" s="13">
        <f>SUMIF(Mercado_Receita!$T$2:$T$345,"44593B2Energia convencional pré-pagamentoRuralServiço público de irrigação ruralNão se aplicaNão se aplicaNão se aplica",Mercado_Receita!$N$2:$N$345)</f>
        <v>0</v>
      </c>
      <c r="O31" s="13">
        <f>SUMIF(Mercado_Receita!$T$2:$T$345,"44621B2Energia convencional pré-pagamentoRuralServiço público de irrigação ruralNão se aplicaNão se aplicaNão se aplica",Mercado_Receita!$N$2:$N$345)</f>
        <v>0</v>
      </c>
      <c r="P31" s="13">
        <f>SUMIF(Mercado_Receita!$T$2:$T$345,"44652B2Energia convencional pré-pagamentoRuralServiço público de irrigação ruralNão se aplicaNão se aplicaNão se aplica",Mercado_Receita!$N$2:$N$345)</f>
        <v>0</v>
      </c>
      <c r="Q31" s="13">
        <f>SUMIF(Mercado_Receita!$T$2:$T$345,"44682B2Energia convencional pré-pagamentoRuralServiço público de irrigação ruralNão se aplicaNão se aplicaNão se aplica",Mercado_Receita!$N$2:$N$345)</f>
        <v>0</v>
      </c>
      <c r="R31" s="13">
        <f>SUMIF(Mercado_Receita!$T$2:$T$345,"44713B2Energia convencional pré-pagamentoRuralServiço público de irrigação ruralNão se aplicaNão se aplicaNão se aplica",Mercado_Receita!$N$2:$N$345)</f>
        <v>0</v>
      </c>
      <c r="S31" s="13">
        <f>SUMIF(Mercado_Receita!$T$2:$T$345,"44743B2Energia convencional pré-pagamentoRuralServiço público de irrigação ruralNão se aplicaNão se aplicaNão se aplica",Mercado_Receita!$N$2:$N$345)</f>
        <v>0</v>
      </c>
      <c r="T31" s="13">
        <f>SUMIF(Mercado_Receita!$T$2:$T$345,"44774B2Energia convencional pré-pagamentoRuralServiço público de irrigação ruralNão se aplicaNão se aplicaNão se aplica",Mercado_Receita!$N$2:$N$345)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4" t="s">
        <v>33</v>
      </c>
      <c r="B32" s="74" t="s">
        <v>69</v>
      </c>
      <c r="C32" s="74" t="s">
        <v>25</v>
      </c>
      <c r="D32" s="74" t="s">
        <v>25</v>
      </c>
      <c r="E32" s="74" t="s">
        <v>25</v>
      </c>
      <c r="F32" s="74" t="s">
        <v>25</v>
      </c>
      <c r="G32" s="13" t="s">
        <v>71</v>
      </c>
      <c r="H32" s="13" t="s">
        <v>70</v>
      </c>
      <c r="I32" s="13">
        <f>SUMIF(Mercado_Receita!$T$2:$T$345,"44440B3Energia horáriaNão se aplicaNão se aplicaNão se aplicaNão se aplicaPonta",Mercado_Receita!$N$2:$N$345)</f>
        <v>0</v>
      </c>
      <c r="J32" s="13">
        <f>SUMIF(Mercado_Receita!$T$2:$T$345,"44470B3Energia horáriaNão se aplicaNão se aplicaNão se aplicaNão se aplicaPonta",Mercado_Receita!$N$2:$N$345)</f>
        <v>0</v>
      </c>
      <c r="K32" s="13">
        <f>SUMIF(Mercado_Receita!$T$2:$T$345,"44501B3Energia horáriaNão se aplicaNão se aplicaNão se aplicaNão se aplicaPonta",Mercado_Receita!$N$2:$N$345)</f>
        <v>0</v>
      </c>
      <c r="L32" s="13">
        <f>SUMIF(Mercado_Receita!$T$2:$T$345,"44531B3Energia horáriaNão se aplicaNão se aplicaNão se aplicaNão se aplicaPonta",Mercado_Receita!$N$2:$N$345)</f>
        <v>0</v>
      </c>
      <c r="M32" s="13">
        <f>SUMIF(Mercado_Receita!$T$2:$T$345,"44562B3Energia horáriaNão se aplicaNão se aplicaNão se aplicaNão se aplicaPonta",Mercado_Receita!$N$2:$N$345)</f>
        <v>0</v>
      </c>
      <c r="N32" s="13">
        <f>SUMIF(Mercado_Receita!$T$2:$T$345,"44593B3Energia horáriaNão se aplicaNão se aplicaNão se aplicaNão se aplicaPonta",Mercado_Receita!$N$2:$N$345)</f>
        <v>0</v>
      </c>
      <c r="O32" s="13">
        <f>SUMIF(Mercado_Receita!$T$2:$T$345,"44621B3Energia horáriaNão se aplicaNão se aplicaNão se aplicaNão se aplicaPonta",Mercado_Receita!$N$2:$N$345)</f>
        <v>0</v>
      </c>
      <c r="P32" s="13">
        <f>SUMIF(Mercado_Receita!$T$2:$T$345,"44652B3Energia horáriaNão se aplicaNão se aplicaNão se aplicaNão se aplicaPonta",Mercado_Receita!$N$2:$N$345)</f>
        <v>0</v>
      </c>
      <c r="Q32" s="13">
        <f>SUMIF(Mercado_Receita!$T$2:$T$345,"44682B3Energia horáriaNão se aplicaNão se aplicaNão se aplicaNão se aplicaPonta",Mercado_Receita!$N$2:$N$345)</f>
        <v>0</v>
      </c>
      <c r="R32" s="13">
        <f>SUMIF(Mercado_Receita!$T$2:$T$345,"44713B3Energia horáriaNão se aplicaNão se aplicaNão se aplicaNão se aplicaPonta",Mercado_Receita!$N$2:$N$345)</f>
        <v>0</v>
      </c>
      <c r="S32" s="13">
        <f>SUMIF(Mercado_Receita!$T$2:$T$345,"44743B3Energia horáriaNão se aplicaNão se aplicaNão se aplicaNão se aplicaPonta",Mercado_Receita!$N$2:$N$345)</f>
        <v>0</v>
      </c>
      <c r="T32" s="13">
        <f>SUMIF(Mercado_Receita!$T$2:$T$345,"44774B3Energia horáriaNão se aplicaNão se aplicaNão se aplicaNão se aplicaPonta",Mercado_Receita!$N$2:$N$345)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75"/>
      <c r="B33" s="75"/>
      <c r="C33" s="75"/>
      <c r="D33" s="75"/>
      <c r="E33" s="75"/>
      <c r="F33" s="75"/>
      <c r="G33" s="13" t="s">
        <v>83</v>
      </c>
      <c r="H33" s="13" t="s">
        <v>70</v>
      </c>
      <c r="I33" s="13">
        <f>SUMIF(Mercado_Receita!$T$2:$T$345,"44440B3Energia horáriaNão se aplicaNão se aplicaNão se aplicaNão se aplicaIntermediário",Mercado_Receita!$N$2:$N$345)</f>
        <v>0</v>
      </c>
      <c r="J33" s="13">
        <f>SUMIF(Mercado_Receita!$T$2:$T$345,"44470B3Energia horáriaNão se aplicaNão se aplicaNão se aplicaNão se aplicaIntermediário",Mercado_Receita!$N$2:$N$345)</f>
        <v>0</v>
      </c>
      <c r="K33" s="13">
        <f>SUMIF(Mercado_Receita!$T$2:$T$345,"44501B3Energia horáriaNão se aplicaNão se aplicaNão se aplicaNão se aplicaIntermediário",Mercado_Receita!$N$2:$N$345)</f>
        <v>0</v>
      </c>
      <c r="L33" s="13">
        <f>SUMIF(Mercado_Receita!$T$2:$T$345,"44531B3Energia horáriaNão se aplicaNão se aplicaNão se aplicaNão se aplicaIntermediário",Mercado_Receita!$N$2:$N$345)</f>
        <v>0</v>
      </c>
      <c r="M33" s="13">
        <f>SUMIF(Mercado_Receita!$T$2:$T$345,"44562B3Energia horáriaNão se aplicaNão se aplicaNão se aplicaNão se aplicaIntermediário",Mercado_Receita!$N$2:$N$345)</f>
        <v>0</v>
      </c>
      <c r="N33" s="13">
        <f>SUMIF(Mercado_Receita!$T$2:$T$345,"44593B3Energia horáriaNão se aplicaNão se aplicaNão se aplicaNão se aplicaIntermediário",Mercado_Receita!$N$2:$N$345)</f>
        <v>0</v>
      </c>
      <c r="O33" s="13">
        <f>SUMIF(Mercado_Receita!$T$2:$T$345,"44621B3Energia horáriaNão se aplicaNão se aplicaNão se aplicaNão se aplicaIntermediário",Mercado_Receita!$N$2:$N$345)</f>
        <v>0</v>
      </c>
      <c r="P33" s="13">
        <f>SUMIF(Mercado_Receita!$T$2:$T$345,"44652B3Energia horáriaNão se aplicaNão se aplicaNão se aplicaNão se aplicaIntermediário",Mercado_Receita!$N$2:$N$345)</f>
        <v>0</v>
      </c>
      <c r="Q33" s="13">
        <f>SUMIF(Mercado_Receita!$T$2:$T$345,"44682B3Energia horáriaNão se aplicaNão se aplicaNão se aplicaNão se aplicaIntermediário",Mercado_Receita!$N$2:$N$345)</f>
        <v>0</v>
      </c>
      <c r="R33" s="13">
        <f>SUMIF(Mercado_Receita!$T$2:$T$345,"44713B3Energia horáriaNão se aplicaNão se aplicaNão se aplicaNão se aplicaIntermediário",Mercado_Receita!$N$2:$N$345)</f>
        <v>0</v>
      </c>
      <c r="S33" s="13">
        <f>SUMIF(Mercado_Receita!$T$2:$T$345,"44743B3Energia horáriaNão se aplicaNão se aplicaNão se aplicaNão se aplicaIntermediário",Mercado_Receita!$N$2:$N$345)</f>
        <v>0</v>
      </c>
      <c r="T33" s="13">
        <f>SUMIF(Mercado_Receita!$T$2:$T$345,"44774B3Energia horáriaNão se aplicaNão se aplicaNão se aplicaNão se aplicaIntermediário",Mercado_Receita!$N$2:$N$345)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75"/>
      <c r="B34" s="75"/>
      <c r="C34" s="75"/>
      <c r="D34" s="75"/>
      <c r="E34" s="75"/>
      <c r="F34" s="75"/>
      <c r="G34" s="13" t="s">
        <v>72</v>
      </c>
      <c r="H34" s="13" t="s">
        <v>70</v>
      </c>
      <c r="I34" s="13">
        <f>SUMIF(Mercado_Receita!$T$2:$T$345,"44440B3Energia horáriaNão se aplicaNão se aplicaNão se aplicaNão se aplicaFora ponta",Mercado_Receita!$N$2:$N$345)</f>
        <v>0</v>
      </c>
      <c r="J34" s="13">
        <f>SUMIF(Mercado_Receita!$T$2:$T$345,"44470B3Energia horáriaNão se aplicaNão se aplicaNão se aplicaNão se aplicaFora ponta",Mercado_Receita!$N$2:$N$345)</f>
        <v>0</v>
      </c>
      <c r="K34" s="13">
        <f>SUMIF(Mercado_Receita!$T$2:$T$345,"44501B3Energia horáriaNão se aplicaNão se aplicaNão se aplicaNão se aplicaFora ponta",Mercado_Receita!$N$2:$N$345)</f>
        <v>0</v>
      </c>
      <c r="L34" s="13">
        <f>SUMIF(Mercado_Receita!$T$2:$T$345,"44531B3Energia horáriaNão se aplicaNão se aplicaNão se aplicaNão se aplicaFora ponta",Mercado_Receita!$N$2:$N$345)</f>
        <v>0</v>
      </c>
      <c r="M34" s="13">
        <f>SUMIF(Mercado_Receita!$T$2:$T$345,"44562B3Energia horáriaNão se aplicaNão se aplicaNão se aplicaNão se aplicaFora ponta",Mercado_Receita!$N$2:$N$345)</f>
        <v>0</v>
      </c>
      <c r="N34" s="13">
        <f>SUMIF(Mercado_Receita!$T$2:$T$345,"44593B3Energia horáriaNão se aplicaNão se aplicaNão se aplicaNão se aplicaFora ponta",Mercado_Receita!$N$2:$N$345)</f>
        <v>0</v>
      </c>
      <c r="O34" s="13">
        <f>SUMIF(Mercado_Receita!$T$2:$T$345,"44621B3Energia horáriaNão se aplicaNão se aplicaNão se aplicaNão se aplicaFora ponta",Mercado_Receita!$N$2:$N$345)</f>
        <v>0</v>
      </c>
      <c r="P34" s="13">
        <f>SUMIF(Mercado_Receita!$T$2:$T$345,"44652B3Energia horáriaNão se aplicaNão se aplicaNão se aplicaNão se aplicaFora ponta",Mercado_Receita!$N$2:$N$345)</f>
        <v>0</v>
      </c>
      <c r="Q34" s="13">
        <f>SUMIF(Mercado_Receita!$T$2:$T$345,"44682B3Energia horáriaNão se aplicaNão se aplicaNão se aplicaNão se aplicaFora ponta",Mercado_Receita!$N$2:$N$345)</f>
        <v>0</v>
      </c>
      <c r="R34" s="13">
        <f>SUMIF(Mercado_Receita!$T$2:$T$345,"44713B3Energia horáriaNão se aplicaNão se aplicaNão se aplicaNão se aplicaFora ponta",Mercado_Receita!$N$2:$N$345)</f>
        <v>0</v>
      </c>
      <c r="S34" s="13">
        <f>SUMIF(Mercado_Receita!$T$2:$T$345,"44743B3Energia horáriaNão se aplicaNão se aplicaNão se aplicaNão se aplicaFora ponta",Mercado_Receita!$N$2:$N$345)</f>
        <v>0</v>
      </c>
      <c r="T34" s="13">
        <f>SUMIF(Mercado_Receita!$T$2:$T$345,"44774B3Energia horáriaNão se aplicaNão se aplicaNão se aplicaNão se aplicaFora ponta",Mercado_Receita!$N$2:$N$345)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75"/>
      <c r="B35" s="12" t="s">
        <v>84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77</v>
      </c>
      <c r="H35" s="13" t="s">
        <v>70</v>
      </c>
      <c r="I35" s="13">
        <f>SUMIF(Mercado_Receita!$T$2:$T$345,"44440B3Energia convencionalNão se aplicaNão se aplicaNão se aplicaNão se aplicaNão se aplica",Mercado_Receita!$N$2:$N$345)</f>
        <v>384.21100000000001</v>
      </c>
      <c r="J35" s="13">
        <f>SUMIF(Mercado_Receita!$T$2:$T$345,"44470B3Energia convencionalNão se aplicaNão se aplicaNão se aplicaNão se aplicaNão se aplica",Mercado_Receita!$N$2:$N$345)</f>
        <v>334.00200000000007</v>
      </c>
      <c r="K35" s="13">
        <f>SUMIF(Mercado_Receita!$T$2:$T$345,"44501B3Energia convencionalNão se aplicaNão se aplicaNão se aplicaNão se aplicaNão se aplica",Mercado_Receita!$N$2:$N$345)</f>
        <v>377.23200000000008</v>
      </c>
      <c r="L35" s="13">
        <f>SUMIF(Mercado_Receita!$T$2:$T$345,"44531B3Energia convencionalNão se aplicaNão se aplicaNão se aplicaNão se aplicaNão se aplica",Mercado_Receita!$N$2:$N$345)</f>
        <v>438.06299999999999</v>
      </c>
      <c r="M35" s="13">
        <f>SUMIF(Mercado_Receita!$T$2:$T$345,"44562B3Energia convencionalNão se aplicaNão se aplicaNão se aplicaNão se aplicaNão se aplica",Mercado_Receita!$N$2:$N$345)</f>
        <v>417.71599999999995</v>
      </c>
      <c r="N35" s="13">
        <f>SUMIF(Mercado_Receita!$T$2:$T$345,"44593B3Energia convencionalNão se aplicaNão se aplicaNão se aplicaNão se aplicaNão se aplica",Mercado_Receita!$N$2:$N$345)</f>
        <v>458.97100000000006</v>
      </c>
      <c r="O35" s="13">
        <f>SUMIF(Mercado_Receita!$T$2:$T$345,"44621B3Energia convencionalNão se aplicaNão se aplicaNão se aplicaNão se aplicaNão se aplica",Mercado_Receita!$N$2:$N$345)</f>
        <v>446.98200000000003</v>
      </c>
      <c r="P35" s="13">
        <f>SUMIF(Mercado_Receita!$T$2:$T$345,"44652B3Energia convencionalNão se aplicaNão se aplicaNão se aplicaNão se aplicaNão se aplica",Mercado_Receita!$N$2:$N$345)</f>
        <v>384.49700000000001</v>
      </c>
      <c r="Q35" s="13">
        <f>SUMIF(Mercado_Receita!$T$2:$T$345,"44682B3Energia convencionalNão se aplicaNão se aplicaNão se aplicaNão se aplicaNão se aplica",Mercado_Receita!$N$2:$N$345)</f>
        <v>370.25900000000001</v>
      </c>
      <c r="R35" s="13">
        <f>SUMIF(Mercado_Receita!$T$2:$T$345,"44713B3Energia convencionalNão se aplicaNão se aplicaNão se aplicaNão se aplicaNão se aplica",Mercado_Receita!$N$2:$N$345)</f>
        <v>370.61999999999995</v>
      </c>
      <c r="S35" s="13">
        <f>SUMIF(Mercado_Receita!$T$2:$T$345,"44743B3Energia convencionalNão se aplicaNão se aplicaNão se aplicaNão se aplicaNão se aplica",Mercado_Receita!$N$2:$N$345)</f>
        <v>356.13900000000001</v>
      </c>
      <c r="T35" s="13">
        <f>SUMIF(Mercado_Receita!$T$2:$T$345,"44774B3Energia convencionalNão se aplicaNão se aplicaNão se aplicaNão se aplicaNão se aplica",Mercado_Receita!$N$2:$N$345)</f>
        <v>372.40100000000007</v>
      </c>
      <c r="U35" s="13">
        <f t="shared" si="0"/>
        <v>4711.0929999999998</v>
      </c>
      <c r="V35" s="13"/>
      <c r="W35" s="13"/>
    </row>
    <row r="36" spans="1:23" ht="11.25" customHeight="1" x14ac:dyDescent="0.25">
      <c r="A36" s="75"/>
      <c r="B36" s="12" t="s">
        <v>86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77</v>
      </c>
      <c r="H36" s="13" t="s">
        <v>70</v>
      </c>
      <c r="I36" s="13">
        <f>SUMIF(Mercado_Receita!$T$2:$T$345,"44440B3Energia convencional pré-pagamentoNão se aplicaNão se aplicaNão se aplicaNão se aplicaNão se aplica",Mercado_Receita!$N$2:$N$345)</f>
        <v>0</v>
      </c>
      <c r="J36" s="13">
        <f>SUMIF(Mercado_Receita!$T$2:$T$345,"44470B3Energia convencional pré-pagamentoNão se aplicaNão se aplicaNão se aplicaNão se aplicaNão se aplica",Mercado_Receita!$N$2:$N$345)</f>
        <v>0</v>
      </c>
      <c r="K36" s="13">
        <f>SUMIF(Mercado_Receita!$T$2:$T$345,"44501B3Energia convencional pré-pagamentoNão se aplicaNão se aplicaNão se aplicaNão se aplicaNão se aplica",Mercado_Receita!$N$2:$N$345)</f>
        <v>0</v>
      </c>
      <c r="L36" s="13">
        <f>SUMIF(Mercado_Receita!$T$2:$T$345,"44531B3Energia convencional pré-pagamentoNão se aplicaNão se aplicaNão se aplicaNão se aplicaNão se aplica",Mercado_Receita!$N$2:$N$345)</f>
        <v>0</v>
      </c>
      <c r="M36" s="13">
        <f>SUMIF(Mercado_Receita!$T$2:$T$345,"44562B3Energia convencional pré-pagamentoNão se aplicaNão se aplicaNão se aplicaNão se aplicaNão se aplica",Mercado_Receita!$N$2:$N$345)</f>
        <v>0</v>
      </c>
      <c r="N36" s="13">
        <f>SUMIF(Mercado_Receita!$T$2:$T$345,"44593B3Energia convencional pré-pagamentoNão se aplicaNão se aplicaNão se aplicaNão se aplicaNão se aplica",Mercado_Receita!$N$2:$N$345)</f>
        <v>0</v>
      </c>
      <c r="O36" s="13">
        <f>SUMIF(Mercado_Receita!$T$2:$T$345,"44621B3Energia convencional pré-pagamentoNão se aplicaNão se aplicaNão se aplicaNão se aplicaNão se aplica",Mercado_Receita!$N$2:$N$345)</f>
        <v>0</v>
      </c>
      <c r="P36" s="13">
        <f>SUMIF(Mercado_Receita!$T$2:$T$345,"44652B3Energia convencional pré-pagamentoNão se aplicaNão se aplicaNão se aplicaNão se aplicaNão se aplica",Mercado_Receita!$N$2:$N$345)</f>
        <v>0</v>
      </c>
      <c r="Q36" s="13">
        <f>SUMIF(Mercado_Receita!$T$2:$T$345,"44682B3Energia convencional pré-pagamentoNão se aplicaNão se aplicaNão se aplicaNão se aplicaNão se aplica",Mercado_Receita!$N$2:$N$345)</f>
        <v>0</v>
      </c>
      <c r="R36" s="13">
        <f>SUMIF(Mercado_Receita!$T$2:$T$345,"44713B3Energia convencional pré-pagamentoNão se aplicaNão se aplicaNão se aplicaNão se aplicaNão se aplica",Mercado_Receita!$N$2:$N$345)</f>
        <v>0</v>
      </c>
      <c r="S36" s="13">
        <f>SUMIF(Mercado_Receita!$T$2:$T$345,"44743B3Energia convencional pré-pagamentoNão se aplicaNão se aplicaNão se aplicaNão se aplicaNão se aplica",Mercado_Receita!$N$2:$N$345)</f>
        <v>0</v>
      </c>
      <c r="T36" s="13">
        <f>SUMIF(Mercado_Receita!$T$2:$T$345,"44774B3Energia convencional pré-pagamentoNão se aplicaNão se aplicaNão se aplicaNão se aplicaNão se aplica",Mercado_Receita!$N$2:$N$345)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4" t="s">
        <v>43</v>
      </c>
      <c r="B37" s="74" t="s">
        <v>84</v>
      </c>
      <c r="C37" s="74" t="s">
        <v>44</v>
      </c>
      <c r="D37" s="12" t="s">
        <v>45</v>
      </c>
      <c r="E37" s="12" t="s">
        <v>25</v>
      </c>
      <c r="F37" s="12" t="s">
        <v>25</v>
      </c>
      <c r="G37" s="13" t="s">
        <v>77</v>
      </c>
      <c r="H37" s="13" t="s">
        <v>70</v>
      </c>
      <c r="I37" s="13">
        <f>SUMIF(Mercado_Receita!$T$2:$T$345,"44440B4Energia convencionalIluminação públicaIluminação pública – B4aNão se aplicaNão se aplicaNão se aplica",Mercado_Receita!$N$2:$N$345)</f>
        <v>159.626</v>
      </c>
      <c r="J37" s="13">
        <f>SUMIF(Mercado_Receita!$T$2:$T$345,"44470B4Energia convencionalIluminação públicaIluminação pública – B4aNão se aplicaNão se aplicaNão se aplica",Mercado_Receita!$N$2:$N$345)</f>
        <v>166.33199999999999</v>
      </c>
      <c r="K37" s="13">
        <f>SUMIF(Mercado_Receita!$T$2:$T$345,"44501B4Energia convencionalIluminação públicaIluminação pública – B4aNão se aplicaNão se aplicaNão se aplica",Mercado_Receita!$N$2:$N$345)</f>
        <v>161.327</v>
      </c>
      <c r="L37" s="13">
        <f>SUMIF(Mercado_Receita!$T$2:$T$345,"44531B4Energia convencionalIluminação públicaIluminação pública – B4aNão se aplicaNão se aplicaNão se aplica",Mercado_Receita!$N$2:$N$345)</f>
        <v>165.21700000000001</v>
      </c>
      <c r="M37" s="13">
        <f>SUMIF(Mercado_Receita!$T$2:$T$345,"44562B4Energia convencionalIluminação públicaIluminação pública – B4aNão se aplicaNão se aplicaNão se aplica",Mercado_Receita!$N$2:$N$345)</f>
        <v>167.01499999999999</v>
      </c>
      <c r="N37" s="13">
        <f>SUMIF(Mercado_Receita!$T$2:$T$345,"44593B4Energia convencionalIluminação públicaIluminação pública – B4aNão se aplicaNão se aplicaNão se aplica",Mercado_Receita!$N$2:$N$345)</f>
        <v>149.13200000000001</v>
      </c>
      <c r="O37" s="13">
        <f>SUMIF(Mercado_Receita!$T$2:$T$345,"44621B4Energia convencionalIluminação públicaIluminação pública – B4aNão se aplicaNão se aplicaNão se aplica",Mercado_Receita!$N$2:$N$345)</f>
        <v>165.19800000000001</v>
      </c>
      <c r="P37" s="13">
        <f>SUMIF(Mercado_Receita!$T$2:$T$345,"44652B4Energia convencionalIluminação públicaIluminação pública – B4aNão se aplicaNão se aplicaNão se aplica",Mercado_Receita!$N$2:$N$345)</f>
        <v>160.88499999999999</v>
      </c>
      <c r="Q37" s="13">
        <f>SUMIF(Mercado_Receita!$T$2:$T$345,"44682B4Energia convencionalIluminação públicaIluminação pública – B4aNão se aplicaNão se aplicaNão se aplica",Mercado_Receita!$N$2:$N$345)</f>
        <v>166.24799999999999</v>
      </c>
      <c r="R37" s="13">
        <f>SUMIF(Mercado_Receita!$T$2:$T$345,"44713B4Energia convencionalIluminação públicaIluminação pública – B4aNão se aplicaNão se aplicaNão se aplica",Mercado_Receita!$N$2:$N$345)</f>
        <v>160.94499999999999</v>
      </c>
      <c r="S37" s="13">
        <f>SUMIF(Mercado_Receita!$T$2:$T$345,"44743B4Energia convencionalIluminação públicaIluminação pública – B4aNão se aplicaNão se aplicaNão se aplica",Mercado_Receita!$N$2:$N$345)</f>
        <v>165.71299999999999</v>
      </c>
      <c r="T37" s="13">
        <f>SUMIF(Mercado_Receita!$T$2:$T$345,"44774B4Energia convencionalIluminação públicaIluminação pública – B4aNão se aplicaNão se aplicaNão se aplica",Mercado_Receita!$N$2:$N$345)</f>
        <v>167.15199999999999</v>
      </c>
      <c r="U37" s="13">
        <f t="shared" si="0"/>
        <v>1954.79</v>
      </c>
      <c r="V37" s="13"/>
      <c r="W37" s="13"/>
    </row>
    <row r="38" spans="1:23" ht="11.25" customHeight="1" x14ac:dyDescent="0.25">
      <c r="A38" s="75"/>
      <c r="B38" s="75"/>
      <c r="C38" s="75"/>
      <c r="D38" s="13" t="s">
        <v>46</v>
      </c>
      <c r="E38" s="13" t="s">
        <v>25</v>
      </c>
      <c r="F38" s="13" t="s">
        <v>25</v>
      </c>
      <c r="G38" s="13" t="s">
        <v>77</v>
      </c>
      <c r="H38" s="13" t="s">
        <v>70</v>
      </c>
      <c r="I38" s="13">
        <f>SUMIF(Mercado_Receita!$T$2:$T$345,"44440B4Energia convencionalIluminação públicaIluminação pública – B4bNão se aplicaNão se aplicaNão se aplica",Mercado_Receita!$N$2:$N$345)</f>
        <v>1.4530000000000001</v>
      </c>
      <c r="J38" s="13">
        <f>SUMIF(Mercado_Receita!$T$2:$T$345,"44470B4Energia convencionalIluminação públicaIluminação pública – B4bNão se aplicaNão se aplicaNão se aplica",Mercado_Receita!$N$2:$N$345)</f>
        <v>0</v>
      </c>
      <c r="K38" s="13">
        <f>SUMIF(Mercado_Receita!$T$2:$T$345,"44501B4Energia convencionalIluminação públicaIluminação pública – B4bNão se aplicaNão se aplicaNão se aplica",Mercado_Receita!$N$2:$N$345)</f>
        <v>0</v>
      </c>
      <c r="L38" s="13">
        <f>SUMIF(Mercado_Receita!$T$2:$T$345,"44531B4Energia convencionalIluminação públicaIluminação pública – B4bNão se aplicaNão se aplicaNão se aplica",Mercado_Receita!$N$2:$N$345)</f>
        <v>0</v>
      </c>
      <c r="M38" s="13">
        <f>SUMIF(Mercado_Receita!$T$2:$T$345,"44562B4Energia convencionalIluminação públicaIluminação pública – B4bNão se aplicaNão se aplicaNão se aplica",Mercado_Receita!$N$2:$N$345)</f>
        <v>0</v>
      </c>
      <c r="N38" s="13">
        <f>SUMIF(Mercado_Receita!$T$2:$T$345,"44593B4Energia convencionalIluminação públicaIluminação pública – B4bNão se aplicaNão se aplicaNão se aplica",Mercado_Receita!$N$2:$N$345)</f>
        <v>0</v>
      </c>
      <c r="O38" s="13">
        <f>SUMIF(Mercado_Receita!$T$2:$T$345,"44621B4Energia convencionalIluminação públicaIluminação pública – B4bNão se aplicaNão se aplicaNão se aplica",Mercado_Receita!$N$2:$N$345)</f>
        <v>0</v>
      </c>
      <c r="P38" s="13">
        <f>SUMIF(Mercado_Receita!$T$2:$T$345,"44652B4Energia convencionalIluminação públicaIluminação pública – B4bNão se aplicaNão se aplicaNão se aplica",Mercado_Receita!$N$2:$N$345)</f>
        <v>0</v>
      </c>
      <c r="Q38" s="13">
        <f>SUMIF(Mercado_Receita!$T$2:$T$345,"44682B4Energia convencionalIluminação públicaIluminação pública – B4bNão se aplicaNão se aplicaNão se aplica",Mercado_Receita!$N$2:$N$345)</f>
        <v>0</v>
      </c>
      <c r="R38" s="13">
        <f>SUMIF(Mercado_Receita!$T$2:$T$345,"44713B4Energia convencionalIluminação públicaIluminação pública – B4bNão se aplicaNão se aplicaNão se aplica",Mercado_Receita!$N$2:$N$345)</f>
        <v>0</v>
      </c>
      <c r="S38" s="13">
        <f>SUMIF(Mercado_Receita!$T$2:$T$345,"44743B4Energia convencionalIluminação públicaIluminação pública – B4bNão se aplicaNão se aplicaNão se aplica",Mercado_Receita!$N$2:$N$345)</f>
        <v>0</v>
      </c>
      <c r="T38" s="13">
        <f>SUMIF(Mercado_Receita!$T$2:$T$345,"44774B4Energia convencionalIluminação públicaIluminação pública – B4bNão se aplicaNão se aplicaNão se aplica",Mercado_Receita!$N$2:$N$345)</f>
        <v>0</v>
      </c>
      <c r="U38" s="13">
        <f t="shared" si="0"/>
        <v>1.4530000000000001</v>
      </c>
      <c r="V38" s="13"/>
      <c r="W38" s="13"/>
    </row>
    <row r="39" spans="1:23" ht="11.25" customHeight="1" x14ac:dyDescent="0.25">
      <c r="A39" s="76" t="s">
        <v>350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E922-7EBE-459C-A83E-4D3F18526407}">
  <dimension ref="A1:AD200"/>
  <sheetViews>
    <sheetView showGridLines="0" topLeftCell="A25" workbookViewId="0">
      <selection activeCell="L48" sqref="L48:M51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" style="14" bestFit="1" customWidth="1"/>
    <col min="14" max="14" width="36.140625" style="14" bestFit="1" customWidth="1"/>
    <col min="15" max="15" width="30.7109375" style="14" customWidth="1"/>
    <col min="16" max="16" width="13.140625" style="14" bestFit="1" customWidth="1"/>
    <col min="17" max="17" width="9.28515625" style="14" bestFit="1" customWidth="1"/>
    <col min="18" max="18" width="9.42578125" style="14" bestFit="1" customWidth="1"/>
    <col min="19" max="19" width="12.5703125" style="14" bestFit="1" customWidth="1"/>
    <col min="20" max="20" width="15.42578125" style="14" bestFit="1" customWidth="1"/>
    <col min="21" max="21" width="10.85546875" style="14" bestFit="1" customWidth="1"/>
    <col min="22" max="22" width="13.28515625" style="14" bestFit="1" customWidth="1"/>
    <col min="23" max="23" width="5" style="14" bestFit="1" customWidth="1"/>
    <col min="24" max="24" width="53.140625" style="14" bestFit="1" customWidth="1"/>
    <col min="25" max="26" width="5" style="14" bestFit="1" customWidth="1"/>
    <col min="27" max="27" width="2" style="14" bestFit="1" customWidth="1"/>
    <col min="28" max="16384" width="9.140625" style="14"/>
  </cols>
  <sheetData>
    <row r="1" spans="1:30" ht="12" customHeight="1" x14ac:dyDescent="0.2">
      <c r="A1" s="10" t="s">
        <v>390</v>
      </c>
      <c r="B1" s="10" t="s">
        <v>391</v>
      </c>
      <c r="C1" s="10" t="s">
        <v>392</v>
      </c>
      <c r="D1" s="10" t="s">
        <v>393</v>
      </c>
      <c r="E1" s="10" t="s">
        <v>394</v>
      </c>
      <c r="F1" s="10" t="s">
        <v>395</v>
      </c>
      <c r="G1" s="7"/>
      <c r="H1" s="7"/>
      <c r="I1" s="7"/>
      <c r="J1" s="7"/>
      <c r="K1" s="7"/>
      <c r="L1" s="87" t="s">
        <v>396</v>
      </c>
      <c r="M1" s="87"/>
      <c r="N1" s="7"/>
      <c r="O1" s="82" t="s">
        <v>483</v>
      </c>
      <c r="P1" s="83"/>
      <c r="Q1" s="83"/>
      <c r="R1" s="83"/>
      <c r="S1" s="83"/>
      <c r="T1" s="83"/>
      <c r="U1" s="83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78" t="s">
        <v>351</v>
      </c>
      <c r="B2" s="78" t="s">
        <v>352</v>
      </c>
      <c r="C2" s="16" t="s">
        <v>437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397</v>
      </c>
      <c r="M2" s="60">
        <v>9.6199999999999994E-2</v>
      </c>
      <c r="N2" s="15"/>
      <c r="O2" s="28" t="s">
        <v>484</v>
      </c>
      <c r="P2" s="28" t="s">
        <v>485</v>
      </c>
      <c r="Q2" s="28" t="s">
        <v>486</v>
      </c>
      <c r="R2" s="28" t="s">
        <v>35</v>
      </c>
      <c r="S2" s="28" t="s">
        <v>487</v>
      </c>
      <c r="T2" s="28" t="s">
        <v>80</v>
      </c>
      <c r="U2" s="28"/>
      <c r="V2" s="15"/>
      <c r="W2" s="15"/>
      <c r="X2" s="23" t="s">
        <v>450</v>
      </c>
      <c r="Y2" s="15"/>
      <c r="Z2" s="15"/>
      <c r="AA2" s="15" t="s">
        <v>495</v>
      </c>
      <c r="AB2" s="15"/>
      <c r="AC2" s="15"/>
      <c r="AD2" s="15"/>
    </row>
    <row r="3" spans="1:30" ht="12" customHeight="1" x14ac:dyDescent="0.2">
      <c r="A3" s="88"/>
      <c r="B3" s="88"/>
      <c r="C3" s="16" t="s">
        <v>353</v>
      </c>
      <c r="D3" s="13">
        <v>43806.02794658357</v>
      </c>
      <c r="E3" s="13">
        <v>-650.1728378535588</v>
      </c>
      <c r="F3" s="13">
        <v>0</v>
      </c>
      <c r="G3" s="15"/>
      <c r="H3" s="15"/>
      <c r="I3" s="15"/>
      <c r="J3" s="15"/>
      <c r="K3" s="15"/>
      <c r="L3" s="23" t="s">
        <v>398</v>
      </c>
      <c r="M3" s="60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488</v>
      </c>
      <c r="V3" s="15"/>
      <c r="W3" s="15"/>
      <c r="X3" s="23" t="s">
        <v>451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8"/>
      <c r="B4" s="88"/>
      <c r="C4" s="16" t="s">
        <v>354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399</v>
      </c>
      <c r="M4" s="60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79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8"/>
      <c r="B5" s="88"/>
      <c r="C5" s="16" t="s">
        <v>355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400</v>
      </c>
      <c r="M5" s="60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8"/>
      <c r="B6" s="88"/>
      <c r="C6" s="16" t="s">
        <v>356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401</v>
      </c>
      <c r="M6" s="60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8"/>
      <c r="B7" s="88"/>
      <c r="C7" s="16" t="s">
        <v>357</v>
      </c>
      <c r="D7" s="13">
        <v>2380089.2903099996</v>
      </c>
      <c r="E7" s="13">
        <v>-11615.655628564573</v>
      </c>
      <c r="F7" s="13">
        <v>0</v>
      </c>
      <c r="G7" s="15"/>
      <c r="H7" s="15"/>
      <c r="I7" s="15"/>
      <c r="J7" s="15"/>
      <c r="K7" s="15"/>
      <c r="L7" s="23" t="s">
        <v>402</v>
      </c>
      <c r="M7" s="23">
        <f>M8+M9+M10+M11</f>
        <v>1920.7500000000011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8"/>
      <c r="B8" s="88"/>
      <c r="C8" s="16" t="s">
        <v>358</v>
      </c>
      <c r="D8" s="13">
        <v>394052.81948999997</v>
      </c>
      <c r="E8" s="13">
        <v>-1842.6577454173989</v>
      </c>
      <c r="F8" s="13">
        <v>0</v>
      </c>
      <c r="G8" s="15"/>
      <c r="H8" s="15"/>
      <c r="I8" s="15"/>
      <c r="J8" s="15"/>
      <c r="K8" s="15"/>
      <c r="L8" s="61" t="s">
        <v>403</v>
      </c>
      <c r="M8" s="23">
        <v>1920.7500000000011</v>
      </c>
      <c r="N8" s="15"/>
      <c r="O8" s="23" t="s">
        <v>436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8"/>
      <c r="B9" s="88"/>
      <c r="C9" s="16" t="s">
        <v>359</v>
      </c>
      <c r="D9" s="13"/>
      <c r="E9" s="13"/>
      <c r="F9" s="13"/>
      <c r="G9" s="15"/>
      <c r="H9" s="15"/>
      <c r="I9" s="15"/>
      <c r="J9" s="15"/>
      <c r="K9" s="15"/>
      <c r="L9" s="62" t="s">
        <v>404</v>
      </c>
      <c r="M9" s="23">
        <v>0</v>
      </c>
      <c r="N9" s="15"/>
      <c r="O9" s="23" t="s">
        <v>441</v>
      </c>
      <c r="P9" s="29">
        <f>SUM(Mercado_Receita!$J$2:$J$345)</f>
        <v>33489</v>
      </c>
      <c r="Q9" s="29">
        <v>33489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8"/>
      <c r="B10" s="79"/>
      <c r="C10" s="16" t="s">
        <v>360</v>
      </c>
      <c r="D10" s="13">
        <f>SUM(D$2:D9)</f>
        <v>2817948.1377465832</v>
      </c>
      <c r="E10" s="13">
        <f>SUM(E$2:E9)</f>
        <v>-14108.48621183553</v>
      </c>
      <c r="F10" s="13">
        <f>SUM(F$2:F9)</f>
        <v>0</v>
      </c>
      <c r="G10" s="15"/>
      <c r="H10" s="15"/>
      <c r="I10" s="15"/>
      <c r="J10" s="15"/>
      <c r="K10" s="15"/>
      <c r="L10" s="61" t="s">
        <v>405</v>
      </c>
      <c r="M10" s="23">
        <v>0</v>
      </c>
      <c r="N10" s="15"/>
      <c r="O10" s="23" t="s">
        <v>442</v>
      </c>
      <c r="P10" s="29">
        <f>SUM(Mercado_Receita!$L$2:$L$345)</f>
        <v>28554.994999999995</v>
      </c>
      <c r="Q10" s="29">
        <v>28554.994999999999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8"/>
      <c r="B11" s="78" t="s">
        <v>361</v>
      </c>
      <c r="C11" s="16" t="s">
        <v>362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61" t="s">
        <v>406</v>
      </c>
      <c r="M11" s="23">
        <v>0</v>
      </c>
      <c r="N11" s="15"/>
      <c r="O11" s="23" t="s">
        <v>443</v>
      </c>
      <c r="P11" s="29">
        <f>SUM(Mercado_Receita!$N$2:$N$345)</f>
        <v>28554.994999999995</v>
      </c>
      <c r="Q11" s="29">
        <v>28554.994999999999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8"/>
      <c r="B12" s="88"/>
      <c r="C12" s="16" t="s">
        <v>363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407</v>
      </c>
      <c r="M12" s="23">
        <v>30475.744999999995</v>
      </c>
      <c r="N12" s="15"/>
      <c r="O12" s="23" t="s">
        <v>444</v>
      </c>
      <c r="P12" s="29">
        <f>SUMIF('MERCADO TUSD'!$H$2:$H$48,"kW",'MERCADO TUSD'!$U$2:$U$48)</f>
        <v>33489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8"/>
      <c r="B13" s="88"/>
      <c r="C13" s="16" t="s">
        <v>364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408</v>
      </c>
      <c r="M13" s="23">
        <v>477.3141966655395</v>
      </c>
      <c r="N13" s="15"/>
      <c r="O13" s="23" t="s">
        <v>445</v>
      </c>
      <c r="P13" s="29">
        <f>SUMIF('MERCADO TUSD'!$H$2:$H$48,"MWh",'MERCADO TUSD'!$U$2:$U$48)</f>
        <v>28554.995000000003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8"/>
      <c r="B14" s="88"/>
      <c r="C14" s="16" t="s">
        <v>365</v>
      </c>
      <c r="D14" s="13"/>
      <c r="E14" s="13"/>
      <c r="F14" s="13"/>
      <c r="G14" s="15"/>
      <c r="H14" s="15"/>
      <c r="I14" s="15"/>
      <c r="J14" s="15"/>
      <c r="K14" s="15"/>
      <c r="L14" s="23" t="s">
        <v>409</v>
      </c>
      <c r="M14" s="23">
        <v>159.92813361004198</v>
      </c>
      <c r="N14" s="15"/>
      <c r="O14" s="23" t="s">
        <v>446</v>
      </c>
      <c r="P14" s="29">
        <f>SUMIF('MERCADO TE'!$H$2:$H$38,"MWh",'MERCADO TE'!$U$2:$U$38)</f>
        <v>28554.995000000003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8"/>
      <c r="B15" s="88"/>
      <c r="C15" s="16" t="s">
        <v>366</v>
      </c>
      <c r="D15" s="13">
        <v>3000554.5575799998</v>
      </c>
      <c r="E15" s="13">
        <v>147750.74491294715</v>
      </c>
      <c r="F15" s="13">
        <v>0</v>
      </c>
      <c r="G15" s="15"/>
      <c r="H15" s="15"/>
      <c r="I15" s="15"/>
      <c r="J15" s="15"/>
      <c r="K15" s="15"/>
      <c r="L15" s="23" t="s">
        <v>410</v>
      </c>
      <c r="M15" s="23">
        <f>M14*M12</f>
        <v>4873929.0182255683</v>
      </c>
      <c r="N15" s="15"/>
      <c r="O15" s="23" t="s">
        <v>447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8"/>
      <c r="B16" s="88"/>
      <c r="C16" s="16" t="s">
        <v>367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411</v>
      </c>
      <c r="M16" s="23">
        <v>-326596.77078165481</v>
      </c>
      <c r="N16" s="15"/>
      <c r="O16" s="23" t="s">
        <v>448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8"/>
      <c r="B17" s="88"/>
      <c r="C17" s="16" t="s">
        <v>368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412</v>
      </c>
      <c r="M17" s="23">
        <v>0</v>
      </c>
      <c r="N17" s="15"/>
      <c r="O17" s="23" t="s">
        <v>449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8"/>
      <c r="B18" s="79"/>
      <c r="C18" s="16" t="s">
        <v>360</v>
      </c>
      <c r="D18" s="13">
        <f>SUM(D$11:D17)</f>
        <v>3000554.5575799998</v>
      </c>
      <c r="E18" s="13">
        <f>SUM(E$11:E17)</f>
        <v>147750.74491294715</v>
      </c>
      <c r="F18" s="13">
        <f>SUM(F$11:F17)</f>
        <v>0</v>
      </c>
      <c r="G18" s="15"/>
      <c r="H18" s="15"/>
      <c r="I18" s="15"/>
      <c r="J18" s="15"/>
      <c r="K18" s="15"/>
      <c r="L18" s="23" t="s">
        <v>413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8"/>
      <c r="B19" s="78" t="s">
        <v>369</v>
      </c>
      <c r="C19" s="16" t="s">
        <v>370</v>
      </c>
      <c r="D19" s="13">
        <v>9970000</v>
      </c>
      <c r="E19" s="13">
        <v>-3251682.4567118082</v>
      </c>
      <c r="F19" s="13">
        <v>0</v>
      </c>
      <c r="G19" s="15"/>
      <c r="H19" s="15"/>
      <c r="I19" s="15"/>
      <c r="J19" s="15"/>
      <c r="K19" s="15"/>
      <c r="L19" s="23" t="s">
        <v>414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8"/>
      <c r="B20" s="79"/>
      <c r="C20" s="16" t="s">
        <v>360</v>
      </c>
      <c r="D20" s="13">
        <f>SUM(D$19:D19)</f>
        <v>9970000</v>
      </c>
      <c r="E20" s="13">
        <f>SUM(E$19:E19)</f>
        <v>-3251682.4567118082</v>
      </c>
      <c r="F20" s="13">
        <f>SUM(F$19:F19)</f>
        <v>0</v>
      </c>
      <c r="G20" s="15"/>
      <c r="H20" s="15"/>
      <c r="I20" s="15"/>
      <c r="J20" s="15"/>
      <c r="K20" s="15"/>
      <c r="L20" s="23" t="s">
        <v>415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8"/>
      <c r="B21" s="78" t="s">
        <v>371</v>
      </c>
      <c r="C21" s="16" t="s">
        <v>372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416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8"/>
      <c r="B22" s="88"/>
      <c r="C22" s="16" t="s">
        <v>373</v>
      </c>
      <c r="D22" s="13"/>
      <c r="E22" s="13"/>
      <c r="F22" s="13"/>
      <c r="G22" s="15"/>
      <c r="H22" s="15"/>
      <c r="I22" s="15"/>
      <c r="J22" s="15"/>
      <c r="K22" s="15"/>
      <c r="L22" s="23" t="s">
        <v>438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8"/>
      <c r="B23" s="79"/>
      <c r="C23" s="16" t="s">
        <v>360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417</v>
      </c>
      <c r="M23" s="23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8"/>
      <c r="B24" s="78" t="s">
        <v>374</v>
      </c>
      <c r="C24" s="16" t="s">
        <v>375</v>
      </c>
      <c r="D24" s="13">
        <f>$M$14*$M$8</f>
        <v>307181.96263148834</v>
      </c>
      <c r="E24" s="13">
        <f>$M$16*$M$8/$M$12</f>
        <v>-20583.934780884403</v>
      </c>
      <c r="F24" s="13">
        <f>$M$17*$M$8/$M$12</f>
        <v>0</v>
      </c>
      <c r="G24" s="15"/>
      <c r="H24" s="15"/>
      <c r="I24" s="15"/>
      <c r="J24" s="15"/>
      <c r="K24" s="15"/>
      <c r="L24" s="23" t="s">
        <v>418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8"/>
      <c r="B25" s="88"/>
      <c r="C25" s="16" t="s">
        <v>376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419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8"/>
      <c r="B26" s="88"/>
      <c r="C26" s="16" t="s">
        <v>377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420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8"/>
      <c r="B27" s="88"/>
      <c r="C27" s="16" t="s">
        <v>378</v>
      </c>
      <c r="D27" s="13"/>
      <c r="E27" s="13"/>
      <c r="F27" s="13"/>
      <c r="G27" s="15"/>
      <c r="H27" s="15"/>
      <c r="I27" s="15"/>
      <c r="J27" s="15"/>
      <c r="K27" s="15"/>
      <c r="L27" s="23" t="s">
        <v>421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8"/>
      <c r="B28" s="79"/>
      <c r="C28" s="16" t="s">
        <v>360</v>
      </c>
      <c r="D28" s="13">
        <f>SUM(D$24:D27)</f>
        <v>307181.96263148834</v>
      </c>
      <c r="E28" s="13">
        <f>SUM(E$24:E27)</f>
        <v>-20583.934780884403</v>
      </c>
      <c r="F28" s="13">
        <f>SUM(F$24:F27)</f>
        <v>0</v>
      </c>
      <c r="G28" s="15"/>
      <c r="H28" s="15"/>
      <c r="I28" s="15"/>
      <c r="J28" s="15"/>
      <c r="K28" s="15"/>
      <c r="L28" s="23" t="s">
        <v>422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79"/>
      <c r="B29" s="80" t="s">
        <v>360</v>
      </c>
      <c r="C29" s="81"/>
      <c r="D29" s="13">
        <f>SUMIF(C$2:C28,"SUBTOTAL",D$2:D28)</f>
        <v>16095684.657958072</v>
      </c>
      <c r="E29" s="13">
        <f>SUMIF(C$2:C28,"SUBTOTAL",E$2:E28)</f>
        <v>-3138624.1327915811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423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78" t="s">
        <v>379</v>
      </c>
      <c r="B30" s="78" t="s">
        <v>352</v>
      </c>
      <c r="C30" s="16" t="s">
        <v>354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424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8"/>
      <c r="B31" s="88"/>
      <c r="C31" s="16" t="s">
        <v>380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425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8"/>
      <c r="B32" s="88"/>
      <c r="C32" s="16" t="s">
        <v>381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426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8"/>
      <c r="B33" s="88"/>
      <c r="C33" s="16" t="s">
        <v>440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427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8"/>
      <c r="B34" s="88"/>
      <c r="C34" s="16" t="s">
        <v>382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428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8"/>
      <c r="B35" s="79"/>
      <c r="C35" s="16" t="s">
        <v>360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3" t="s">
        <v>429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8"/>
      <c r="B36" s="78" t="s">
        <v>383</v>
      </c>
      <c r="C36" s="16" t="s">
        <v>384</v>
      </c>
      <c r="D36" s="13">
        <f>$M$14*($M$12-$M$7)</f>
        <v>4566747.0555940801</v>
      </c>
      <c r="E36" s="13">
        <f>$M$16*($M$12-$M$7)/$M$12</f>
        <v>-306012.83600077045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430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8"/>
      <c r="B37" s="79"/>
      <c r="C37" s="16" t="s">
        <v>360</v>
      </c>
      <c r="D37" s="13">
        <f>SUM(D$36:D36)</f>
        <v>4566747.0555940801</v>
      </c>
      <c r="E37" s="13">
        <f>SUM(E$36:E36)</f>
        <v>-306012.83600077045</v>
      </c>
      <c r="F37" s="13">
        <f>SUM(F$36:F36)</f>
        <v>0</v>
      </c>
      <c r="G37" s="15"/>
      <c r="H37" s="15"/>
      <c r="I37" s="15"/>
      <c r="J37" s="15"/>
      <c r="K37" s="15"/>
      <c r="L37" s="23" t="s">
        <v>431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8"/>
      <c r="B38" s="78" t="s">
        <v>361</v>
      </c>
      <c r="C38" s="16" t="s">
        <v>385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432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489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8"/>
      <c r="B39" s="88"/>
      <c r="C39" s="16" t="s">
        <v>386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433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507</v>
      </c>
      <c r="P39" s="15" t="s">
        <v>508</v>
      </c>
      <c r="Q39" s="15" t="s">
        <v>509</v>
      </c>
      <c r="R39" s="15" t="s">
        <v>510</v>
      </c>
      <c r="S39" s="15" t="s">
        <v>1</v>
      </c>
      <c r="T39" s="15" t="s">
        <v>511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8"/>
      <c r="B40" s="88"/>
      <c r="C40" s="16" t="s">
        <v>387</v>
      </c>
      <c r="D40" s="13"/>
      <c r="E40" s="13"/>
      <c r="F40" s="13"/>
      <c r="G40" s="15"/>
      <c r="H40" s="15"/>
      <c r="I40" s="15"/>
      <c r="J40" s="15"/>
      <c r="K40" s="15"/>
      <c r="L40" s="23" t="s">
        <v>434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8"/>
      <c r="B41" s="79"/>
      <c r="C41" s="16" t="s">
        <v>360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8"/>
      <c r="B42" s="78" t="s">
        <v>371</v>
      </c>
      <c r="C42" s="16" t="s">
        <v>372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8"/>
      <c r="B43" s="79"/>
      <c r="C43" s="16" t="s">
        <v>360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8"/>
      <c r="B44" s="78" t="s">
        <v>374</v>
      </c>
      <c r="C44" s="16" t="s">
        <v>388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8"/>
      <c r="B45" s="79"/>
      <c r="C45" s="16" t="s">
        <v>360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79"/>
      <c r="B46" s="80" t="s">
        <v>360</v>
      </c>
      <c r="C46" s="81"/>
      <c r="D46" s="13">
        <f>SUMIF(C$30:C45,"SUBTOTAL",D$30:D45)</f>
        <v>4566747.0555940801</v>
      </c>
      <c r="E46" s="13">
        <f>SUMIF(C$30:C45,"SUBTOTAL",E$30:E45)</f>
        <v>-306012.83600077045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0" t="s">
        <v>389</v>
      </c>
      <c r="B47" s="86"/>
      <c r="C47" s="81"/>
      <c r="D47" s="13">
        <f>SUMIF(C$2:C46,"SUBTOTAL",D$2:D46)</f>
        <v>20662431.713552151</v>
      </c>
      <c r="E47" s="13">
        <f>SUMIF(C$2:C46,"SUBTOTAL",E$2:E46)</f>
        <v>-3444636.9687923514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84" t="s">
        <v>481</v>
      </c>
      <c r="B48" s="85"/>
      <c r="C48" s="85"/>
      <c r="D48" s="26">
        <f ca="1">'TUSD BE'!$AM$53+'TUSD BE'!$AM$57+'TE BE'!$AB$43</f>
        <v>20662431.713552155</v>
      </c>
      <c r="E48" s="26">
        <f ca="1">'TUSD BF'!$AM$53+'TE BF'!$AB$43</f>
        <v>-3444636.9687923519</v>
      </c>
      <c r="F48" s="26">
        <f ca="1">'TUSD CVA'!$AM$53+'TE CVA'!$AB$43</f>
        <v>0</v>
      </c>
      <c r="L48" s="59"/>
      <c r="M48" s="23"/>
      <c r="O48" s="33"/>
      <c r="P48" s="33"/>
      <c r="Q48" s="33"/>
      <c r="R48" s="33"/>
      <c r="S48" s="33"/>
      <c r="T48" s="33"/>
    </row>
    <row r="49" spans="1:20" ht="12" customHeight="1" x14ac:dyDescent="0.25">
      <c r="A49" s="84" t="s">
        <v>482</v>
      </c>
      <c r="B49" s="85"/>
      <c r="C49" s="85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59"/>
      <c r="M49" s="23"/>
      <c r="O49" s="33"/>
      <c r="P49" s="33"/>
      <c r="Q49" s="33"/>
      <c r="R49" s="33"/>
      <c r="S49" s="33"/>
      <c r="T49" s="33"/>
    </row>
    <row r="50" spans="1:20" ht="12" customHeight="1" x14ac:dyDescent="0.25">
      <c r="L50" s="59"/>
      <c r="M50" s="23"/>
      <c r="O50" s="33"/>
      <c r="P50" s="33"/>
      <c r="Q50" s="33"/>
      <c r="R50" s="33"/>
      <c r="S50" s="33"/>
      <c r="T50" s="33"/>
    </row>
    <row r="51" spans="1:20" ht="12" customHeight="1" x14ac:dyDescent="0.25">
      <c r="L51" s="50" t="s">
        <v>435</v>
      </c>
      <c r="M51" s="56">
        <v>0</v>
      </c>
      <c r="O51" s="33"/>
      <c r="P51" s="33"/>
      <c r="Q51" s="33"/>
      <c r="R51" s="33"/>
      <c r="S51" s="33"/>
      <c r="T51" s="33"/>
    </row>
    <row r="52" spans="1:20" ht="12" customHeight="1" x14ac:dyDescent="0.25">
      <c r="O52" s="33"/>
      <c r="P52" s="33"/>
      <c r="Q52" s="33"/>
      <c r="R52" s="33"/>
      <c r="S52" s="33"/>
      <c r="T52" s="33"/>
    </row>
    <row r="53" spans="1:20" ht="12" customHeight="1" x14ac:dyDescent="0.25">
      <c r="O53" s="33"/>
      <c r="P53" s="33"/>
      <c r="Q53" s="33"/>
      <c r="R53" s="33"/>
      <c r="S53" s="33"/>
      <c r="T53" s="33"/>
    </row>
    <row r="54" spans="1:20" ht="12" customHeight="1" x14ac:dyDescent="0.25">
      <c r="O54" s="33"/>
      <c r="P54" s="33"/>
      <c r="Q54" s="33"/>
      <c r="R54" s="33"/>
      <c r="S54" s="33"/>
      <c r="T54" s="33"/>
    </row>
    <row r="55" spans="1:20" ht="12" customHeight="1" x14ac:dyDescent="0.25">
      <c r="O55" s="33"/>
      <c r="P55" s="33"/>
      <c r="Q55" s="33"/>
      <c r="R55" s="33"/>
      <c r="S55" s="33"/>
      <c r="T55" s="33"/>
    </row>
    <row r="56" spans="1:20" ht="12" customHeight="1" x14ac:dyDescent="0.25">
      <c r="O56" s="33"/>
      <c r="P56" s="33"/>
      <c r="Q56" s="33"/>
      <c r="R56" s="33"/>
      <c r="S56" s="33"/>
      <c r="T56" s="33"/>
    </row>
    <row r="57" spans="1:20" ht="12" customHeight="1" x14ac:dyDescent="0.25">
      <c r="O57" s="33"/>
      <c r="P57" s="33"/>
      <c r="Q57" s="33"/>
      <c r="R57" s="33"/>
      <c r="S57" s="33"/>
      <c r="T57" s="33"/>
    </row>
    <row r="58" spans="1:20" ht="12" customHeight="1" x14ac:dyDescent="0.25">
      <c r="O58" s="33"/>
      <c r="P58" s="33"/>
      <c r="Q58" s="33"/>
      <c r="R58" s="33"/>
      <c r="S58" s="33"/>
      <c r="T58" s="33"/>
    </row>
    <row r="59" spans="1:20" ht="12" customHeight="1" x14ac:dyDescent="0.25">
      <c r="O59" s="33"/>
      <c r="P59" s="33"/>
      <c r="Q59" s="33"/>
      <c r="R59" s="33"/>
      <c r="S59" s="33"/>
      <c r="T59" s="33"/>
    </row>
    <row r="60" spans="1:20" ht="12" customHeight="1" x14ac:dyDescent="0.25">
      <c r="O60" s="33"/>
      <c r="P60" s="33"/>
      <c r="Q60" s="33"/>
      <c r="R60" s="33"/>
      <c r="S60" s="33"/>
      <c r="T60" s="33"/>
    </row>
    <row r="61" spans="1:20" ht="12" customHeight="1" x14ac:dyDescent="0.25">
      <c r="O61" s="33"/>
      <c r="P61" s="33"/>
      <c r="Q61" s="33"/>
      <c r="R61" s="33"/>
      <c r="S61" s="33"/>
      <c r="T61" s="33"/>
    </row>
    <row r="62" spans="1:20" ht="12" customHeight="1" x14ac:dyDescent="0.25">
      <c r="O62" s="33"/>
      <c r="P62" s="33"/>
      <c r="Q62" s="33"/>
      <c r="R62" s="33"/>
      <c r="S62" s="33"/>
      <c r="T62" s="33"/>
    </row>
    <row r="63" spans="1:20" ht="12" customHeight="1" x14ac:dyDescent="0.25">
      <c r="O63" s="33"/>
      <c r="P63" s="33"/>
      <c r="Q63" s="33"/>
      <c r="R63" s="33"/>
      <c r="S63" s="33"/>
      <c r="T63" s="33"/>
    </row>
    <row r="64" spans="1:20" ht="12" customHeight="1" x14ac:dyDescent="0.25">
      <c r="O64" s="33"/>
      <c r="P64" s="33"/>
      <c r="Q64" s="33"/>
      <c r="R64" s="33"/>
      <c r="S64" s="33"/>
      <c r="T64" s="33"/>
    </row>
    <row r="65" spans="15:20" ht="12" customHeight="1" x14ac:dyDescent="0.25">
      <c r="O65" s="33"/>
      <c r="P65" s="33"/>
      <c r="Q65" s="33"/>
      <c r="R65" s="33"/>
      <c r="S65" s="33"/>
      <c r="T65" s="33"/>
    </row>
    <row r="66" spans="15:20" ht="12" customHeight="1" x14ac:dyDescent="0.25">
      <c r="O66" s="33"/>
      <c r="P66" s="33"/>
      <c r="Q66" s="33"/>
      <c r="R66" s="33"/>
      <c r="S66" s="33"/>
      <c r="T66" s="33"/>
    </row>
    <row r="67" spans="15:20" ht="12" customHeight="1" x14ac:dyDescent="0.25">
      <c r="O67" s="33"/>
      <c r="P67" s="33"/>
      <c r="Q67" s="33"/>
      <c r="R67" s="33"/>
      <c r="S67" s="33"/>
      <c r="T67" s="33"/>
    </row>
    <row r="68" spans="15:20" ht="12" customHeight="1" x14ac:dyDescent="0.25">
      <c r="O68" s="33"/>
      <c r="P68" s="33"/>
      <c r="Q68" s="33"/>
      <c r="R68" s="33"/>
      <c r="S68" s="33"/>
      <c r="T68" s="33"/>
    </row>
    <row r="69" spans="15:20" ht="12" customHeight="1" x14ac:dyDescent="0.25">
      <c r="O69" s="33"/>
      <c r="P69" s="33"/>
      <c r="Q69" s="33"/>
      <c r="R69" s="33"/>
      <c r="S69" s="33"/>
      <c r="T69" s="33"/>
    </row>
    <row r="70" spans="15:20" ht="12" customHeight="1" x14ac:dyDescent="0.25">
      <c r="O70" s="33"/>
      <c r="P70" s="33"/>
      <c r="Q70" s="33"/>
      <c r="R70" s="33"/>
      <c r="S70" s="33"/>
      <c r="T70" s="33"/>
    </row>
    <row r="71" spans="15:20" ht="12" customHeight="1" x14ac:dyDescent="0.25">
      <c r="O71" s="33"/>
      <c r="P71" s="33"/>
      <c r="Q71" s="33"/>
      <c r="R71" s="33"/>
      <c r="S71" s="33"/>
      <c r="T71" s="33"/>
    </row>
    <row r="72" spans="15:20" ht="12" customHeight="1" x14ac:dyDescent="0.25">
      <c r="O72" s="33"/>
      <c r="P72" s="33"/>
      <c r="Q72" s="33"/>
      <c r="R72" s="33"/>
      <c r="S72" s="33"/>
      <c r="T72" s="33"/>
    </row>
    <row r="73" spans="15:20" ht="12" customHeight="1" x14ac:dyDescent="0.25">
      <c r="O73" s="33"/>
      <c r="P73" s="33"/>
      <c r="Q73" s="33"/>
      <c r="R73" s="33"/>
      <c r="S73" s="33"/>
      <c r="T73" s="33"/>
    </row>
    <row r="74" spans="15:20" ht="12" customHeight="1" x14ac:dyDescent="0.25">
      <c r="O74" s="33"/>
      <c r="P74" s="33"/>
      <c r="Q74" s="33"/>
      <c r="R74" s="33"/>
      <c r="S74" s="33"/>
      <c r="T74" s="33"/>
    </row>
    <row r="75" spans="15:20" ht="12" customHeight="1" x14ac:dyDescent="0.25">
      <c r="O75" s="33"/>
      <c r="P75" s="33"/>
      <c r="Q75" s="33"/>
      <c r="R75" s="33"/>
      <c r="S75" s="33"/>
      <c r="T75" s="33"/>
    </row>
    <row r="76" spans="15:20" ht="12" customHeight="1" x14ac:dyDescent="0.25">
      <c r="O76" s="33"/>
      <c r="P76" s="33"/>
      <c r="Q76" s="33"/>
      <c r="R76" s="33"/>
      <c r="S76" s="33"/>
      <c r="T76" s="33"/>
    </row>
    <row r="77" spans="15:20" ht="12" customHeight="1" x14ac:dyDescent="0.25">
      <c r="O77" s="33"/>
      <c r="P77" s="33"/>
      <c r="Q77" s="33"/>
      <c r="R77" s="33"/>
      <c r="S77" s="33"/>
      <c r="T77" s="33"/>
    </row>
    <row r="78" spans="15:20" ht="12" customHeight="1" x14ac:dyDescent="0.25">
      <c r="O78" s="33"/>
      <c r="P78" s="33"/>
      <c r="Q78" s="33"/>
      <c r="R78" s="33"/>
      <c r="S78" s="33"/>
      <c r="T78" s="33"/>
    </row>
    <row r="79" spans="15:20" ht="12" customHeight="1" x14ac:dyDescent="0.25">
      <c r="O79" s="33"/>
      <c r="P79" s="33"/>
      <c r="Q79" s="33"/>
      <c r="R79" s="33"/>
      <c r="S79" s="33"/>
      <c r="T79" s="33"/>
    </row>
    <row r="80" spans="15:20" ht="12" customHeight="1" x14ac:dyDescent="0.25">
      <c r="O80" s="33"/>
      <c r="P80" s="33"/>
      <c r="Q80" s="33"/>
      <c r="R80" s="33"/>
      <c r="S80" s="33"/>
      <c r="T80" s="33"/>
    </row>
    <row r="81" spans="15:20" ht="12" customHeight="1" x14ac:dyDescent="0.25">
      <c r="O81" s="33"/>
      <c r="P81" s="33"/>
      <c r="Q81" s="33"/>
      <c r="R81" s="33"/>
      <c r="S81" s="33"/>
      <c r="T81" s="33"/>
    </row>
    <row r="82" spans="15:20" ht="12" customHeight="1" x14ac:dyDescent="0.25">
      <c r="O82" s="33"/>
      <c r="P82" s="33"/>
      <c r="Q82" s="33"/>
      <c r="R82" s="33"/>
      <c r="S82" s="33"/>
      <c r="T82" s="33"/>
    </row>
    <row r="83" spans="15:20" ht="12" customHeight="1" x14ac:dyDescent="0.25">
      <c r="O83" s="33"/>
      <c r="P83" s="33"/>
      <c r="Q83" s="33"/>
      <c r="R83" s="33"/>
      <c r="S83" s="33"/>
      <c r="T83" s="33"/>
    </row>
    <row r="84" spans="15:20" ht="12" customHeight="1" x14ac:dyDescent="0.25">
      <c r="O84" s="33"/>
      <c r="P84" s="33"/>
      <c r="Q84" s="33"/>
      <c r="R84" s="33"/>
      <c r="S84" s="33"/>
      <c r="T84" s="33"/>
    </row>
    <row r="85" spans="15:20" ht="12" customHeight="1" x14ac:dyDescent="0.25">
      <c r="O85" s="33"/>
      <c r="P85" s="33"/>
      <c r="Q85" s="33"/>
      <c r="R85" s="33"/>
      <c r="S85" s="33"/>
      <c r="T85" s="33"/>
    </row>
    <row r="86" spans="15:20" ht="12" customHeight="1" x14ac:dyDescent="0.25">
      <c r="O86" s="33"/>
      <c r="P86" s="33"/>
      <c r="Q86" s="33"/>
      <c r="R86" s="33"/>
      <c r="S86" s="33"/>
      <c r="T86" s="33"/>
    </row>
    <row r="87" spans="15:20" ht="12" customHeight="1" x14ac:dyDescent="0.25">
      <c r="O87" s="33"/>
      <c r="P87" s="33"/>
      <c r="Q87" s="33"/>
      <c r="R87" s="33"/>
      <c r="S87" s="33"/>
      <c r="T87" s="33"/>
    </row>
    <row r="88" spans="15:20" ht="12" customHeight="1" x14ac:dyDescent="0.25">
      <c r="O88" s="33"/>
      <c r="P88" s="33"/>
      <c r="Q88" s="33"/>
      <c r="R88" s="33"/>
      <c r="S88" s="33"/>
      <c r="T88" s="33"/>
    </row>
    <row r="89" spans="15:20" ht="12" customHeight="1" x14ac:dyDescent="0.25">
      <c r="O89" s="33"/>
      <c r="P89" s="33"/>
      <c r="Q89" s="33"/>
      <c r="R89" s="33"/>
      <c r="S89" s="33"/>
      <c r="T89" s="33"/>
    </row>
    <row r="90" spans="15:20" ht="12" customHeight="1" x14ac:dyDescent="0.25">
      <c r="O90" s="33"/>
      <c r="P90" s="33"/>
      <c r="Q90" s="33"/>
      <c r="R90" s="33"/>
      <c r="S90" s="33"/>
      <c r="T90" s="33"/>
    </row>
    <row r="91" spans="15:20" ht="12" customHeight="1" x14ac:dyDescent="0.25">
      <c r="O91" s="33"/>
      <c r="P91" s="33"/>
      <c r="Q91" s="33"/>
      <c r="R91" s="33"/>
      <c r="S91" s="33"/>
      <c r="T91" s="33"/>
    </row>
    <row r="92" spans="15:20" ht="12" customHeight="1" x14ac:dyDescent="0.25">
      <c r="O92" s="33"/>
      <c r="P92" s="33"/>
      <c r="Q92" s="33"/>
      <c r="R92" s="33"/>
      <c r="S92" s="33"/>
      <c r="T92" s="33"/>
    </row>
    <row r="93" spans="15:20" ht="12" customHeight="1" x14ac:dyDescent="0.25">
      <c r="O93" s="33"/>
      <c r="P93" s="33"/>
      <c r="Q93" s="33"/>
      <c r="R93" s="33"/>
      <c r="S93" s="33"/>
      <c r="T93" s="33"/>
    </row>
    <row r="94" spans="15:20" ht="12" customHeight="1" x14ac:dyDescent="0.25">
      <c r="O94" s="33"/>
      <c r="P94" s="33"/>
      <c r="Q94" s="33"/>
      <c r="R94" s="33"/>
      <c r="S94" s="33"/>
      <c r="T94" s="33"/>
    </row>
    <row r="95" spans="15:20" ht="12" customHeight="1" x14ac:dyDescent="0.25">
      <c r="O95" s="33"/>
      <c r="P95" s="33"/>
      <c r="Q95" s="33"/>
      <c r="R95" s="33"/>
      <c r="S95" s="33"/>
      <c r="T95" s="33"/>
    </row>
    <row r="96" spans="15:20" ht="12" customHeight="1" x14ac:dyDescent="0.25">
      <c r="O96" s="33"/>
      <c r="P96" s="33"/>
      <c r="Q96" s="33"/>
      <c r="R96" s="33"/>
      <c r="S96" s="33"/>
      <c r="T96" s="33"/>
    </row>
    <row r="97" spans="15:30" ht="12" customHeight="1" x14ac:dyDescent="0.25">
      <c r="O97" s="33"/>
      <c r="P97" s="33"/>
      <c r="Q97" s="33"/>
      <c r="R97" s="33"/>
      <c r="S97" s="33"/>
      <c r="T97" s="33"/>
    </row>
    <row r="98" spans="15:30" ht="12" customHeight="1" x14ac:dyDescent="0.25">
      <c r="O98" s="33"/>
      <c r="P98" s="33"/>
      <c r="Q98" s="33"/>
      <c r="R98" s="33"/>
      <c r="S98" s="33"/>
      <c r="T98" s="33"/>
    </row>
    <row r="99" spans="15:30" ht="12" customHeight="1" x14ac:dyDescent="0.25">
      <c r="O99" s="32"/>
      <c r="P99" s="32"/>
      <c r="Q99" s="32"/>
      <c r="R99" s="32"/>
      <c r="S99" s="32"/>
      <c r="T99" s="32"/>
    </row>
    <row r="100" spans="15:30" ht="12" customHeight="1" x14ac:dyDescent="0.25"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25">
      <c r="O101" s="33" t="s">
        <v>507</v>
      </c>
      <c r="P101" s="33" t="s">
        <v>512</v>
      </c>
      <c r="Q101" s="33" t="s">
        <v>513</v>
      </c>
      <c r="R101" s="33" t="s">
        <v>514</v>
      </c>
      <c r="S101" s="33" t="s">
        <v>515</v>
      </c>
      <c r="T101" s="33" t="s">
        <v>516</v>
      </c>
      <c r="U101" s="33" t="s">
        <v>517</v>
      </c>
      <c r="V101" s="33" t="s">
        <v>518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25">
      <c r="O102" s="33" t="s">
        <v>34</v>
      </c>
      <c r="P102" s="33" t="s">
        <v>23</v>
      </c>
      <c r="Q102" s="33" t="s">
        <v>40</v>
      </c>
      <c r="R102" s="33" t="s">
        <v>41</v>
      </c>
      <c r="S102" s="33" t="s">
        <v>25</v>
      </c>
      <c r="T102" s="33" t="s">
        <v>41</v>
      </c>
      <c r="U102" s="33">
        <v>4</v>
      </c>
      <c r="V102" s="33">
        <v>0.3</v>
      </c>
      <c r="W102" s="33">
        <v>0.24</v>
      </c>
      <c r="X102" s="33">
        <v>0.18</v>
      </c>
      <c r="Y102" s="33">
        <v>0.12</v>
      </c>
      <c r="Z102" s="33">
        <v>0.06</v>
      </c>
      <c r="AA102" s="33">
        <v>0</v>
      </c>
      <c r="AB102" s="33"/>
      <c r="AC102" s="33"/>
      <c r="AD102" s="33"/>
    </row>
    <row r="103" spans="15:30" ht="12" customHeight="1" x14ac:dyDescent="0.25"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</row>
    <row r="104" spans="15:30" ht="12" customHeight="1" x14ac:dyDescent="0.25"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</row>
    <row r="105" spans="15:30" ht="12" customHeight="1" x14ac:dyDescent="0.25"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</row>
    <row r="106" spans="15:30" ht="12" customHeight="1" x14ac:dyDescent="0.25"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15:30" ht="12" customHeight="1" x14ac:dyDescent="0.25"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</row>
    <row r="108" spans="15:30" ht="12" customHeight="1" x14ac:dyDescent="0.25"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</row>
    <row r="109" spans="15:30" ht="12" customHeight="1" x14ac:dyDescent="0.25"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</row>
    <row r="110" spans="15:30" ht="12" customHeight="1" x14ac:dyDescent="0.25"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</row>
    <row r="111" spans="15:30" ht="12" customHeight="1" x14ac:dyDescent="0.25"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spans="15:30" ht="12" customHeight="1" x14ac:dyDescent="0.25"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</row>
    <row r="113" spans="15:30" ht="12" customHeight="1" x14ac:dyDescent="0.25"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</row>
    <row r="114" spans="15:30" ht="12" customHeight="1" x14ac:dyDescent="0.25"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</row>
    <row r="115" spans="15:30" ht="12" customHeight="1" x14ac:dyDescent="0.25"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</row>
    <row r="116" spans="15:30" ht="12" customHeight="1" x14ac:dyDescent="0.25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25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25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25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25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25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25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25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25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25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25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25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25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25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25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25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25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25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25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25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25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25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25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25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25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25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25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25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25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25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25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25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25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25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25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25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25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25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25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25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25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25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25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25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25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25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25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25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25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25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25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25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25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25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25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25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25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25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25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25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25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25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25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25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25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25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25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25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25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25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25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25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25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25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25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25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25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25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25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25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25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25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25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25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25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  <mergeCell ref="O1:U1"/>
    <mergeCell ref="A48:C48"/>
  </mergeCells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220D-B56F-4E81-B973-D8FDEED00CC6}">
  <dimension ref="A1:AP51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89" t="s">
        <v>60</v>
      </c>
      <c r="B1" s="89" t="s">
        <v>61</v>
      </c>
      <c r="C1" s="89" t="s">
        <v>62</v>
      </c>
      <c r="D1" s="89" t="s">
        <v>63</v>
      </c>
      <c r="E1" s="89" t="s">
        <v>64</v>
      </c>
      <c r="F1" s="89" t="s">
        <v>15</v>
      </c>
      <c r="G1" s="89" t="s">
        <v>66</v>
      </c>
      <c r="H1" s="89" t="s">
        <v>67</v>
      </c>
      <c r="I1" s="89" t="s">
        <v>452</v>
      </c>
      <c r="J1" s="82"/>
      <c r="L1" s="90" t="s">
        <v>453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P1" s="90" t="s">
        <v>454</v>
      </c>
    </row>
    <row r="2" spans="1:42" ht="11.2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82"/>
      <c r="L2" s="90" t="s">
        <v>351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P2" s="91"/>
    </row>
    <row r="3" spans="1:42" ht="11.25" customHeight="1" x14ac:dyDescent="0.25">
      <c r="A3" s="89"/>
      <c r="B3" s="89"/>
      <c r="C3" s="89"/>
      <c r="D3" s="89"/>
      <c r="E3" s="89"/>
      <c r="F3" s="89"/>
      <c r="G3" s="89"/>
      <c r="H3" s="89"/>
      <c r="I3" s="89"/>
      <c r="J3" s="82"/>
      <c r="L3" s="90" t="s">
        <v>352</v>
      </c>
      <c r="M3" s="90"/>
      <c r="N3" s="90"/>
      <c r="O3" s="90"/>
      <c r="P3" s="90"/>
      <c r="Q3" s="90"/>
      <c r="R3" s="90"/>
      <c r="S3" s="90"/>
      <c r="T3" s="90"/>
      <c r="U3" s="90" t="s">
        <v>361</v>
      </c>
      <c r="V3" s="90"/>
      <c r="W3" s="90"/>
      <c r="X3" s="90"/>
      <c r="Y3" s="90"/>
      <c r="Z3" s="90"/>
      <c r="AA3" s="90"/>
      <c r="AB3" s="90"/>
      <c r="AC3" s="90" t="s">
        <v>369</v>
      </c>
      <c r="AD3" s="90"/>
      <c r="AE3" s="90" t="s">
        <v>371</v>
      </c>
      <c r="AF3" s="90"/>
      <c r="AG3" s="90"/>
      <c r="AH3" s="90" t="s">
        <v>374</v>
      </c>
      <c r="AI3" s="90"/>
      <c r="AJ3" s="90"/>
      <c r="AK3" s="90"/>
      <c r="AL3" s="90"/>
      <c r="AM3" s="90" t="s">
        <v>360</v>
      </c>
      <c r="AP3" s="91"/>
    </row>
    <row r="4" spans="1:42" ht="11.25" customHeight="1" x14ac:dyDescent="0.25">
      <c r="A4" s="89"/>
      <c r="B4" s="89"/>
      <c r="C4" s="89"/>
      <c r="D4" s="89"/>
      <c r="E4" s="89"/>
      <c r="F4" s="89"/>
      <c r="G4" s="89"/>
      <c r="H4" s="89"/>
      <c r="I4" s="89"/>
      <c r="J4" s="82"/>
      <c r="L4" s="10" t="s">
        <v>437</v>
      </c>
      <c r="M4" s="10" t="s">
        <v>353</v>
      </c>
      <c r="N4" s="10" t="s">
        <v>354</v>
      </c>
      <c r="O4" s="10" t="s">
        <v>355</v>
      </c>
      <c r="P4" s="10" t="s">
        <v>356</v>
      </c>
      <c r="Q4" s="10" t="s">
        <v>357</v>
      </c>
      <c r="R4" s="10" t="s">
        <v>358</v>
      </c>
      <c r="S4" s="10" t="s">
        <v>359</v>
      </c>
      <c r="T4" s="10" t="s">
        <v>360</v>
      </c>
      <c r="U4" s="10" t="s">
        <v>362</v>
      </c>
      <c r="V4" s="10" t="s">
        <v>363</v>
      </c>
      <c r="W4" s="10" t="s">
        <v>364</v>
      </c>
      <c r="X4" s="10" t="s">
        <v>365</v>
      </c>
      <c r="Y4" s="10" t="s">
        <v>366</v>
      </c>
      <c r="Z4" s="10" t="s">
        <v>367</v>
      </c>
      <c r="AA4" s="10" t="s">
        <v>368</v>
      </c>
      <c r="AB4" s="10" t="s">
        <v>360</v>
      </c>
      <c r="AC4" s="10" t="s">
        <v>370</v>
      </c>
      <c r="AD4" s="10" t="s">
        <v>360</v>
      </c>
      <c r="AE4" s="10" t="s">
        <v>372</v>
      </c>
      <c r="AF4" s="10" t="s">
        <v>373</v>
      </c>
      <c r="AG4" s="10" t="s">
        <v>360</v>
      </c>
      <c r="AH4" s="10" t="s">
        <v>375</v>
      </c>
      <c r="AI4" s="10" t="s">
        <v>376</v>
      </c>
      <c r="AJ4" s="10" t="s">
        <v>377</v>
      </c>
      <c r="AK4" s="10" t="s">
        <v>378</v>
      </c>
      <c r="AL4" s="10" t="s">
        <v>360</v>
      </c>
      <c r="AM4" s="92"/>
      <c r="AP4" s="91"/>
    </row>
    <row r="5" spans="1:42" ht="11.25" customHeight="1" x14ac:dyDescent="0.25">
      <c r="A5" s="93" t="s">
        <v>35</v>
      </c>
      <c r="B5" s="93" t="s">
        <v>73</v>
      </c>
      <c r="C5" s="93" t="s">
        <v>25</v>
      </c>
      <c r="D5" s="93" t="s">
        <v>25</v>
      </c>
      <c r="E5" s="93" t="s">
        <v>25</v>
      </c>
      <c r="F5" s="93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33.180300000000003</v>
      </c>
      <c r="Z5" s="13">
        <v>0</v>
      </c>
      <c r="AA5" s="13">
        <v>0</v>
      </c>
      <c r="AB5" s="13"/>
      <c r="AC5" s="13">
        <v>94.189099999999996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93"/>
      <c r="B6" s="93"/>
      <c r="C6" s="93"/>
      <c r="D6" s="93"/>
      <c r="E6" s="93"/>
      <c r="F6" s="93"/>
      <c r="G6" s="18" t="s">
        <v>76</v>
      </c>
      <c r="H6" s="18" t="s">
        <v>74</v>
      </c>
      <c r="I6" s="18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13.411</v>
      </c>
      <c r="Z6" s="13">
        <v>0</v>
      </c>
      <c r="AA6" s="13">
        <v>0</v>
      </c>
      <c r="AB6" s="13"/>
      <c r="AC6" s="13">
        <v>26.319600000000001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93"/>
      <c r="B7" s="93"/>
      <c r="C7" s="93"/>
      <c r="D7" s="93"/>
      <c r="E7" s="93"/>
      <c r="F7" s="93"/>
      <c r="G7" s="18" t="s">
        <v>77</v>
      </c>
      <c r="H7" s="18" t="s">
        <v>70</v>
      </c>
      <c r="I7" s="18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93"/>
      <c r="B8" s="93"/>
      <c r="C8" s="93"/>
      <c r="D8" s="93"/>
      <c r="E8" s="17" t="s">
        <v>78</v>
      </c>
      <c r="F8" s="17" t="s">
        <v>25</v>
      </c>
      <c r="G8" s="18" t="s">
        <v>77</v>
      </c>
      <c r="H8" s="18" t="s">
        <v>70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93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1.09E-2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93"/>
      <c r="B10" s="93" t="s">
        <v>36</v>
      </c>
      <c r="C10" s="93" t="s">
        <v>25</v>
      </c>
      <c r="D10" s="93" t="s">
        <v>25</v>
      </c>
      <c r="E10" s="93" t="s">
        <v>25</v>
      </c>
      <c r="F10" s="93" t="s">
        <v>25</v>
      </c>
      <c r="G10" s="18" t="s">
        <v>9</v>
      </c>
      <c r="H10" s="18" t="s">
        <v>74</v>
      </c>
      <c r="I10" s="18">
        <f>'MERCADO TUSD'!$U$7</f>
        <v>33489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13.411</v>
      </c>
      <c r="Z10" s="13">
        <v>0</v>
      </c>
      <c r="AA10" s="13">
        <v>0</v>
      </c>
      <c r="AB10" s="13"/>
      <c r="AC10" s="13">
        <v>26.319600000000001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93"/>
      <c r="B11" s="93"/>
      <c r="C11" s="93"/>
      <c r="D11" s="93"/>
      <c r="E11" s="93"/>
      <c r="F11" s="93"/>
      <c r="G11" s="18" t="s">
        <v>71</v>
      </c>
      <c r="H11" s="18" t="s">
        <v>70</v>
      </c>
      <c r="I11" s="18">
        <f>'MERCADO TUSD'!$U$8</f>
        <v>232.29900000000001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798.30409999999995</v>
      </c>
      <c r="Z11" s="13">
        <v>0</v>
      </c>
      <c r="AA11" s="13">
        <v>0</v>
      </c>
      <c r="AB11" s="13"/>
      <c r="AC11" s="13">
        <v>2265.248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93"/>
      <c r="B12" s="93"/>
      <c r="C12" s="93"/>
      <c r="D12" s="93"/>
      <c r="E12" s="93"/>
      <c r="F12" s="93"/>
      <c r="G12" s="18" t="s">
        <v>72</v>
      </c>
      <c r="H12" s="18" t="s">
        <v>70</v>
      </c>
      <c r="I12" s="18">
        <f>'MERCADO TUSD'!$U$9</f>
        <v>7582.5569999999989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93"/>
      <c r="B13" s="93"/>
      <c r="C13" s="93"/>
      <c r="D13" s="93"/>
      <c r="E13" s="93" t="s">
        <v>78</v>
      </c>
      <c r="F13" s="93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798.30409999999995</v>
      </c>
      <c r="Z13" s="13">
        <v>0</v>
      </c>
      <c r="AA13" s="13">
        <v>0</v>
      </c>
      <c r="AB13" s="13"/>
      <c r="AC13" s="13">
        <v>2265.248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93"/>
      <c r="B14" s="93"/>
      <c r="C14" s="93"/>
      <c r="D14" s="93"/>
      <c r="E14" s="93"/>
      <c r="F14" s="93"/>
      <c r="G14" s="18" t="s">
        <v>72</v>
      </c>
      <c r="H14" s="18" t="s">
        <v>70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93" t="s">
        <v>80</v>
      </c>
      <c r="B15" s="93" t="s">
        <v>79</v>
      </c>
      <c r="C15" s="93" t="s">
        <v>25</v>
      </c>
      <c r="D15" s="93" t="s">
        <v>25</v>
      </c>
      <c r="E15" s="17" t="s">
        <v>81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12.282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93"/>
      <c r="B16" s="93"/>
      <c r="C16" s="93"/>
      <c r="D16" s="93"/>
      <c r="E16" s="17" t="s">
        <v>82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24.988199999999999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93" t="s">
        <v>22</v>
      </c>
      <c r="B17" s="93" t="s">
        <v>85</v>
      </c>
      <c r="C17" s="93" t="s">
        <v>24</v>
      </c>
      <c r="D17" s="93" t="s">
        <v>24</v>
      </c>
      <c r="E17" s="93" t="s">
        <v>25</v>
      </c>
      <c r="F17" s="93" t="s">
        <v>25</v>
      </c>
      <c r="G17" s="18" t="s">
        <v>71</v>
      </c>
      <c r="H17" s="18" t="s">
        <v>70</v>
      </c>
      <c r="I17" s="18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292.26440000000002</v>
      </c>
      <c r="Z17" s="13">
        <v>0</v>
      </c>
      <c r="AA17" s="13">
        <v>0</v>
      </c>
      <c r="AB17" s="13"/>
      <c r="AC17" s="13">
        <v>1058.3897999999999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93"/>
      <c r="B18" s="93"/>
      <c r="C18" s="93"/>
      <c r="D18" s="93"/>
      <c r="E18" s="93"/>
      <c r="F18" s="93"/>
      <c r="G18" s="18" t="s">
        <v>83</v>
      </c>
      <c r="H18" s="18" t="s">
        <v>70</v>
      </c>
      <c r="I18" s="18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175.3587</v>
      </c>
      <c r="Z18" s="13">
        <v>0</v>
      </c>
      <c r="AA18" s="13">
        <v>0</v>
      </c>
      <c r="AB18" s="13"/>
      <c r="AC18" s="13">
        <v>635.03420000000006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93"/>
      <c r="B19" s="93"/>
      <c r="C19" s="93"/>
      <c r="D19" s="93"/>
      <c r="E19" s="93"/>
      <c r="F19" s="93"/>
      <c r="G19" s="18" t="s">
        <v>72</v>
      </c>
      <c r="H19" s="18" t="s">
        <v>70</v>
      </c>
      <c r="I19" s="18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58.506300000000003</v>
      </c>
      <c r="Z19" s="13">
        <v>0</v>
      </c>
      <c r="AA19" s="13">
        <v>0</v>
      </c>
      <c r="AB19" s="13"/>
      <c r="AC19" s="13">
        <v>211.67779999999999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93"/>
      <c r="B20" s="93" t="s">
        <v>23</v>
      </c>
      <c r="C20" s="93" t="s">
        <v>24</v>
      </c>
      <c r="D20" s="17" t="s">
        <v>24</v>
      </c>
      <c r="E20" s="17" t="s">
        <v>25</v>
      </c>
      <c r="F20" s="17" t="s">
        <v>25</v>
      </c>
      <c r="G20" s="18" t="s">
        <v>77</v>
      </c>
      <c r="H20" s="18" t="s">
        <v>70</v>
      </c>
      <c r="I20" s="18">
        <f>'MERCADO TUSD'!$U$17</f>
        <v>10122.061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108.1966</v>
      </c>
      <c r="Z20" s="13">
        <v>0</v>
      </c>
      <c r="AA20" s="13">
        <v>0</v>
      </c>
      <c r="AB20" s="13"/>
      <c r="AC20" s="13">
        <v>391.99639999999999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93"/>
      <c r="B21" s="93"/>
      <c r="C21" s="93"/>
      <c r="D21" s="17" t="s">
        <v>29</v>
      </c>
      <c r="E21" s="17" t="s">
        <v>25</v>
      </c>
      <c r="F21" s="17" t="s">
        <v>25</v>
      </c>
      <c r="G21" s="18" t="s">
        <v>77</v>
      </c>
      <c r="H21" s="18" t="s">
        <v>70</v>
      </c>
      <c r="I21" s="18">
        <f>'MERCADO TUSD'!$U$18</f>
        <v>111.12200000000001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CUSTOS!$M$24)*108.1966</f>
        <v>108.1966</v>
      </c>
      <c r="Z21" s="13">
        <v>0</v>
      </c>
      <c r="AA21" s="13">
        <v>0</v>
      </c>
      <c r="AB21" s="13"/>
      <c r="AC21" s="13">
        <f>(1 - CUSTOS!$M$24)*391.9964</f>
        <v>391.99639999999999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3"/>
      <c r="B22" s="93"/>
      <c r="C22" s="93"/>
      <c r="D22" s="17" t="s">
        <v>30</v>
      </c>
      <c r="E22" s="17" t="s">
        <v>25</v>
      </c>
      <c r="F22" s="17" t="s">
        <v>25</v>
      </c>
      <c r="G22" s="18" t="s">
        <v>77</v>
      </c>
      <c r="H22" s="18" t="s">
        <v>70</v>
      </c>
      <c r="I22" s="18">
        <f>'MERCADO TUSD'!$U$19</f>
        <v>223.66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CUSTOS!$M$25)*108.1966</f>
        <v>108.1966</v>
      </c>
      <c r="Z22" s="13">
        <v>0</v>
      </c>
      <c r="AA22" s="13">
        <v>0</v>
      </c>
      <c r="AB22" s="13"/>
      <c r="AC22" s="13">
        <f>(1 - CUSTOS!$M$25)*391.9964</f>
        <v>391.99639999999999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3"/>
      <c r="B23" s="93"/>
      <c r="C23" s="93"/>
      <c r="D23" s="17" t="s">
        <v>31</v>
      </c>
      <c r="E23" s="17" t="s">
        <v>25</v>
      </c>
      <c r="F23" s="17" t="s">
        <v>25</v>
      </c>
      <c r="G23" s="18" t="s">
        <v>77</v>
      </c>
      <c r="H23" s="18" t="s">
        <v>70</v>
      </c>
      <c r="I23" s="18">
        <f>'MERCADO TUSD'!$U$20</f>
        <v>229.345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CUSTOS!$M$26)*108.1966</f>
        <v>108.1966</v>
      </c>
      <c r="Z23" s="13">
        <v>0</v>
      </c>
      <c r="AA23" s="13">
        <v>0</v>
      </c>
      <c r="AB23" s="13"/>
      <c r="AC23" s="13">
        <f>(1 - CUSTOS!$M$26)*391.9964</f>
        <v>391.99639999999999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3"/>
      <c r="B24" s="93"/>
      <c r="C24" s="93"/>
      <c r="D24" s="17" t="s">
        <v>32</v>
      </c>
      <c r="E24" s="17" t="s">
        <v>25</v>
      </c>
      <c r="F24" s="17" t="s">
        <v>25</v>
      </c>
      <c r="G24" s="18" t="s">
        <v>77</v>
      </c>
      <c r="H24" s="18" t="s">
        <v>70</v>
      </c>
      <c r="I24" s="18">
        <f>'MERCADO TUSD'!$U$21</f>
        <v>103.19500000000001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CUSTOS!$M$27)*108.1966</f>
        <v>108.1966</v>
      </c>
      <c r="Z24" s="13">
        <v>0</v>
      </c>
      <c r="AA24" s="13">
        <v>0</v>
      </c>
      <c r="AB24" s="13"/>
      <c r="AC24" s="13">
        <f>(1 - CUSTOS!$M$27)*391.9964</f>
        <v>391.99639999999999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3"/>
      <c r="B25" s="93" t="s">
        <v>87</v>
      </c>
      <c r="C25" s="93" t="s">
        <v>24</v>
      </c>
      <c r="D25" s="17" t="s">
        <v>24</v>
      </c>
      <c r="E25" s="17" t="s">
        <v>25</v>
      </c>
      <c r="F25" s="17" t="s">
        <v>25</v>
      </c>
      <c r="G25" s="18" t="s">
        <v>77</v>
      </c>
      <c r="H25" s="18" t="s">
        <v>70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108.1966</v>
      </c>
      <c r="Z25" s="13">
        <v>0</v>
      </c>
      <c r="AA25" s="13">
        <v>0</v>
      </c>
      <c r="AB25" s="13"/>
      <c r="AC25" s="13">
        <v>391.99639999999999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93"/>
      <c r="B26" s="93"/>
      <c r="C26" s="93"/>
      <c r="D26" s="17" t="s">
        <v>29</v>
      </c>
      <c r="E26" s="17" t="s">
        <v>25</v>
      </c>
      <c r="F26" s="17" t="s">
        <v>25</v>
      </c>
      <c r="G26" s="18" t="s">
        <v>77</v>
      </c>
      <c r="H26" s="18" t="s">
        <v>70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CUSTOS!$M$24)*108.1966</f>
        <v>108.1966</v>
      </c>
      <c r="Z26" s="13">
        <v>0</v>
      </c>
      <c r="AA26" s="13">
        <v>0</v>
      </c>
      <c r="AB26" s="13"/>
      <c r="AC26" s="13">
        <f>(1 - CUSTOS!$M$24)*391.9964</f>
        <v>391.99639999999999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3"/>
      <c r="B27" s="93"/>
      <c r="C27" s="93"/>
      <c r="D27" s="17" t="s">
        <v>30</v>
      </c>
      <c r="E27" s="17" t="s">
        <v>25</v>
      </c>
      <c r="F27" s="17" t="s">
        <v>25</v>
      </c>
      <c r="G27" s="18" t="s">
        <v>77</v>
      </c>
      <c r="H27" s="18" t="s">
        <v>70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CUSTOS!$M$25)*108.1966</f>
        <v>108.1966</v>
      </c>
      <c r="Z27" s="13">
        <v>0</v>
      </c>
      <c r="AA27" s="13">
        <v>0</v>
      </c>
      <c r="AB27" s="13"/>
      <c r="AC27" s="13">
        <f>(1 - CUSTOS!$M$25)*391.9964</f>
        <v>391.99639999999999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3"/>
      <c r="B28" s="93"/>
      <c r="C28" s="93"/>
      <c r="D28" s="17" t="s">
        <v>31</v>
      </c>
      <c r="E28" s="17" t="s">
        <v>25</v>
      </c>
      <c r="F28" s="17" t="s">
        <v>25</v>
      </c>
      <c r="G28" s="18" t="s">
        <v>77</v>
      </c>
      <c r="H28" s="18" t="s">
        <v>70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CUSTOS!$M$26)*108.1966</f>
        <v>108.1966</v>
      </c>
      <c r="Z28" s="13">
        <v>0</v>
      </c>
      <c r="AA28" s="13">
        <v>0</v>
      </c>
      <c r="AB28" s="13"/>
      <c r="AC28" s="13">
        <f>(1 - CUSTOS!$M$26)*391.9964</f>
        <v>391.99639999999999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3"/>
      <c r="B29" s="93"/>
      <c r="C29" s="93"/>
      <c r="D29" s="17" t="s">
        <v>32</v>
      </c>
      <c r="E29" s="17" t="s">
        <v>25</v>
      </c>
      <c r="F29" s="17" t="s">
        <v>25</v>
      </c>
      <c r="G29" s="18" t="s">
        <v>77</v>
      </c>
      <c r="H29" s="18" t="s">
        <v>70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CUSTOS!$M$27)*108.1966</f>
        <v>108.1966</v>
      </c>
      <c r="Z29" s="13">
        <v>0</v>
      </c>
      <c r="AA29" s="13">
        <v>0</v>
      </c>
      <c r="AB29" s="13"/>
      <c r="AC29" s="13">
        <f>(1 - CUSTOS!$M$27)*391.9964</f>
        <v>391.99639999999999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3" t="s">
        <v>40</v>
      </c>
      <c r="B30" s="93" t="s">
        <v>85</v>
      </c>
      <c r="C30" s="93" t="s">
        <v>41</v>
      </c>
      <c r="D30" s="93" t="s">
        <v>25</v>
      </c>
      <c r="E30" s="93" t="s">
        <v>25</v>
      </c>
      <c r="F30" s="93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CUSTOS!$M$28)*373.3719</f>
        <v>373.37189999999998</v>
      </c>
      <c r="Z30" s="13">
        <v>0</v>
      </c>
      <c r="AA30" s="13">
        <v>0</v>
      </c>
      <c r="AB30" s="13"/>
      <c r="AC30" s="13">
        <f>(1 - CUSTOS!$M$28)*1156.3891</f>
        <v>1156.3891000000001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3"/>
      <c r="B31" s="93"/>
      <c r="C31" s="93"/>
      <c r="D31" s="93"/>
      <c r="E31" s="93"/>
      <c r="F31" s="93"/>
      <c r="G31" s="18" t="s">
        <v>83</v>
      </c>
      <c r="H31" s="18" t="s">
        <v>70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CUSTOS!$M$28)*223.9803</f>
        <v>223.9803</v>
      </c>
      <c r="Z31" s="13">
        <v>0</v>
      </c>
      <c r="AA31" s="13">
        <v>0</v>
      </c>
      <c r="AB31" s="13"/>
      <c r="AC31" s="13">
        <f>(1 - CUSTOS!$M$28)*693.8333</f>
        <v>693.83330000000001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3"/>
      <c r="B32" s="93"/>
      <c r="C32" s="93"/>
      <c r="D32" s="93"/>
      <c r="E32" s="93"/>
      <c r="F32" s="93"/>
      <c r="G32" s="18" t="s">
        <v>72</v>
      </c>
      <c r="H32" s="18" t="s">
        <v>70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CUSTOS!$M$28)*74.6423</f>
        <v>74.642300000000006</v>
      </c>
      <c r="Z32" s="13">
        <v>0</v>
      </c>
      <c r="AA32" s="13">
        <v>0</v>
      </c>
      <c r="AB32" s="13"/>
      <c r="AC32" s="13">
        <f>(1 - CUSTOS!$M$28)*231.2777</f>
        <v>231.27770000000001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3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77</v>
      </c>
      <c r="H33" s="18" t="s">
        <v>70</v>
      </c>
      <c r="I33" s="18">
        <f>'MERCADO TUSD'!$U$30</f>
        <v>3283.42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CUSTOS!$M$28)*108.1966</f>
        <v>108.1966</v>
      </c>
      <c r="Z33" s="13">
        <v>0</v>
      </c>
      <c r="AA33" s="13">
        <v>0</v>
      </c>
      <c r="AB33" s="13"/>
      <c r="AC33" s="13">
        <f>(1 - CUSTOS!$M$28)*391.9964</f>
        <v>391.99639999999999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3"/>
      <c r="B34" s="93" t="s">
        <v>85</v>
      </c>
      <c r="C34" s="93" t="s">
        <v>41</v>
      </c>
      <c r="D34" s="93" t="s">
        <v>88</v>
      </c>
      <c r="E34" s="93" t="s">
        <v>25</v>
      </c>
      <c r="F34" s="93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CUSTOS!$M$29)*373.3719</f>
        <v>373.37189999999998</v>
      </c>
      <c r="Z34" s="13">
        <v>0</v>
      </c>
      <c r="AA34" s="13">
        <v>0</v>
      </c>
      <c r="AB34" s="13"/>
      <c r="AC34" s="13">
        <f>(1 - CUSTOS!$M$29)*1156.3891</f>
        <v>1156.3891000000001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3"/>
      <c r="B35" s="93"/>
      <c r="C35" s="93"/>
      <c r="D35" s="93"/>
      <c r="E35" s="93"/>
      <c r="F35" s="93"/>
      <c r="G35" s="18" t="s">
        <v>83</v>
      </c>
      <c r="H35" s="18" t="s">
        <v>70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CUSTOS!$M$29)*223.9803</f>
        <v>223.9803</v>
      </c>
      <c r="Z35" s="13">
        <v>0</v>
      </c>
      <c r="AA35" s="13">
        <v>0</v>
      </c>
      <c r="AB35" s="13"/>
      <c r="AC35" s="13">
        <f>(1 - CUSTOS!$M$29)*693.8333</f>
        <v>693.83330000000001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3"/>
      <c r="B36" s="93"/>
      <c r="C36" s="93"/>
      <c r="D36" s="93"/>
      <c r="E36" s="93"/>
      <c r="F36" s="93"/>
      <c r="G36" s="18" t="s">
        <v>72</v>
      </c>
      <c r="H36" s="18" t="s">
        <v>70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CUSTOS!$M$29)*74.6423</f>
        <v>74.642300000000006</v>
      </c>
      <c r="Z36" s="13">
        <v>0</v>
      </c>
      <c r="AA36" s="13">
        <v>0</v>
      </c>
      <c r="AB36" s="13"/>
      <c r="AC36" s="13">
        <f>(1 - CUSTOS!$M$29)*231.2777</f>
        <v>231.27770000000001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3"/>
      <c r="B37" s="17" t="s">
        <v>23</v>
      </c>
      <c r="C37" s="17" t="s">
        <v>41</v>
      </c>
      <c r="D37" s="17" t="s">
        <v>88</v>
      </c>
      <c r="E37" s="17" t="s">
        <v>25</v>
      </c>
      <c r="F37" s="17" t="s">
        <v>25</v>
      </c>
      <c r="G37" s="18" t="s">
        <v>77</v>
      </c>
      <c r="H37" s="18" t="s">
        <v>70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CUSTOS!$M$29)*108.1966</f>
        <v>108.1966</v>
      </c>
      <c r="Z37" s="13">
        <v>0</v>
      </c>
      <c r="AA37" s="13">
        <v>0</v>
      </c>
      <c r="AB37" s="13"/>
      <c r="AC37" s="13">
        <f>(1 - CUSTOS!$M$29)*391.9964</f>
        <v>391.99639999999999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3"/>
      <c r="B38" s="93" t="s">
        <v>85</v>
      </c>
      <c r="C38" s="93" t="s">
        <v>41</v>
      </c>
      <c r="D38" s="93" t="s">
        <v>89</v>
      </c>
      <c r="E38" s="93" t="s">
        <v>25</v>
      </c>
      <c r="F38" s="93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CUSTOS!$M$30)*373.3719</f>
        <v>373.37189999999998</v>
      </c>
      <c r="Z38" s="13">
        <v>0</v>
      </c>
      <c r="AA38" s="13">
        <v>0</v>
      </c>
      <c r="AB38" s="13"/>
      <c r="AC38" s="13">
        <f>(1 - CUSTOS!$M$30)*1156.3891</f>
        <v>1156.3891000000001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3"/>
      <c r="B39" s="93"/>
      <c r="C39" s="93"/>
      <c r="D39" s="93"/>
      <c r="E39" s="93"/>
      <c r="F39" s="93"/>
      <c r="G39" s="18" t="s">
        <v>83</v>
      </c>
      <c r="H39" s="18" t="s">
        <v>70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CUSTOS!$M$30)*223.9803</f>
        <v>223.9803</v>
      </c>
      <c r="Z39" s="13">
        <v>0</v>
      </c>
      <c r="AA39" s="13">
        <v>0</v>
      </c>
      <c r="AB39" s="13"/>
      <c r="AC39" s="13">
        <f>(1 - CUSTOS!$M$30)*693.8333</f>
        <v>693.83330000000001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3"/>
      <c r="B40" s="93"/>
      <c r="C40" s="93"/>
      <c r="D40" s="93"/>
      <c r="E40" s="93"/>
      <c r="F40" s="93"/>
      <c r="G40" s="18" t="s">
        <v>72</v>
      </c>
      <c r="H40" s="18" t="s">
        <v>70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CUSTOS!$M$30)*74.6423</f>
        <v>74.642300000000006</v>
      </c>
      <c r="Z40" s="13">
        <v>0</v>
      </c>
      <c r="AA40" s="13">
        <v>0</v>
      </c>
      <c r="AB40" s="13"/>
      <c r="AC40" s="13">
        <f>(1 - CUSTOS!$M$30)*231.2777</f>
        <v>231.27770000000001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3"/>
      <c r="B41" s="17" t="s">
        <v>23</v>
      </c>
      <c r="C41" s="17" t="s">
        <v>41</v>
      </c>
      <c r="D41" s="17" t="s">
        <v>89</v>
      </c>
      <c r="E41" s="17" t="s">
        <v>25</v>
      </c>
      <c r="F41" s="17" t="s">
        <v>25</v>
      </c>
      <c r="G41" s="18" t="s">
        <v>77</v>
      </c>
      <c r="H41" s="18" t="s">
        <v>70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CUSTOS!$M$30)*108.1966</f>
        <v>108.1966</v>
      </c>
      <c r="Z41" s="13">
        <v>0</v>
      </c>
      <c r="AA41" s="13">
        <v>0</v>
      </c>
      <c r="AB41" s="13"/>
      <c r="AC41" s="13">
        <f>(1 - CUSTOS!$M$30)*391.9964</f>
        <v>391.99639999999999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3"/>
      <c r="B42" s="93" t="s">
        <v>87</v>
      </c>
      <c r="C42" s="93" t="s">
        <v>41</v>
      </c>
      <c r="D42" s="17" t="s">
        <v>25</v>
      </c>
      <c r="E42" s="17" t="s">
        <v>25</v>
      </c>
      <c r="F42" s="17" t="s">
        <v>25</v>
      </c>
      <c r="G42" s="18" t="s">
        <v>77</v>
      </c>
      <c r="H42" s="18" t="s">
        <v>70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CUSTOS!$M$28)*108.1966</f>
        <v>108.1966</v>
      </c>
      <c r="Z42" s="13">
        <v>0</v>
      </c>
      <c r="AA42" s="13">
        <v>0</v>
      </c>
      <c r="AB42" s="13"/>
      <c r="AC42" s="13">
        <f>(1 - CUSTOS!$M$28)*391.9964</f>
        <v>391.99639999999999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3"/>
      <c r="B43" s="93"/>
      <c r="C43" s="93"/>
      <c r="D43" s="17" t="s">
        <v>88</v>
      </c>
      <c r="E43" s="17" t="s">
        <v>25</v>
      </c>
      <c r="F43" s="17" t="s">
        <v>25</v>
      </c>
      <c r="G43" s="18" t="s">
        <v>77</v>
      </c>
      <c r="H43" s="18" t="s">
        <v>70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CUSTOS!$M$29)*108.1966</f>
        <v>108.1966</v>
      </c>
      <c r="Z43" s="13">
        <v>0</v>
      </c>
      <c r="AA43" s="13">
        <v>0</v>
      </c>
      <c r="AB43" s="13"/>
      <c r="AC43" s="13">
        <f>(1 - CUSTOS!$M$29)*391.9964</f>
        <v>391.99639999999999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3"/>
      <c r="B44" s="93"/>
      <c r="C44" s="93"/>
      <c r="D44" s="17" t="s">
        <v>89</v>
      </c>
      <c r="E44" s="17" t="s">
        <v>25</v>
      </c>
      <c r="F44" s="17" t="s">
        <v>25</v>
      </c>
      <c r="G44" s="18" t="s">
        <v>77</v>
      </c>
      <c r="H44" s="18" t="s">
        <v>70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CUSTOS!$M$30)*108.1966</f>
        <v>108.1966</v>
      </c>
      <c r="Z44" s="13">
        <v>0</v>
      </c>
      <c r="AA44" s="13">
        <v>0</v>
      </c>
      <c r="AB44" s="13"/>
      <c r="AC44" s="13">
        <f>(1 - CUSTOS!$M$30)*391.9964</f>
        <v>391.99639999999999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3" t="s">
        <v>33</v>
      </c>
      <c r="B45" s="93" t="s">
        <v>85</v>
      </c>
      <c r="C45" s="93" t="s">
        <v>25</v>
      </c>
      <c r="D45" s="93" t="s">
        <v>25</v>
      </c>
      <c r="E45" s="93" t="s">
        <v>25</v>
      </c>
      <c r="F45" s="93" t="s">
        <v>25</v>
      </c>
      <c r="G45" s="18" t="s">
        <v>71</v>
      </c>
      <c r="H45" s="18" t="s">
        <v>70</v>
      </c>
      <c r="I45" s="18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CUSTOS!$M$31)*373.3719</f>
        <v>373.37189999999998</v>
      </c>
      <c r="Z45" s="13">
        <v>0</v>
      </c>
      <c r="AA45" s="13">
        <v>0</v>
      </c>
      <c r="AB45" s="13"/>
      <c r="AC45" s="13">
        <f>(1 - CUSTOS!$M$31)*1352.387</f>
        <v>1352.3869999999999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3"/>
      <c r="B46" s="93"/>
      <c r="C46" s="93"/>
      <c r="D46" s="93"/>
      <c r="E46" s="93"/>
      <c r="F46" s="93"/>
      <c r="G46" s="18" t="s">
        <v>83</v>
      </c>
      <c r="H46" s="18" t="s">
        <v>70</v>
      </c>
      <c r="I46" s="18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CUSTOS!$M$31)*223.9803</f>
        <v>223.9803</v>
      </c>
      <c r="Z46" s="13">
        <v>0</v>
      </c>
      <c r="AA46" s="13">
        <v>0</v>
      </c>
      <c r="AB46" s="13"/>
      <c r="AC46" s="13">
        <f>(1 - CUSTOS!$M$31)*811.4321</f>
        <v>811.43209999999999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3"/>
      <c r="B47" s="93"/>
      <c r="C47" s="93"/>
      <c r="D47" s="93"/>
      <c r="E47" s="93"/>
      <c r="F47" s="93"/>
      <c r="G47" s="18" t="s">
        <v>72</v>
      </c>
      <c r="H47" s="18" t="s">
        <v>70</v>
      </c>
      <c r="I47" s="18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CUSTOS!$M$31)*74.6423</f>
        <v>74.642300000000006</v>
      </c>
      <c r="Z47" s="13">
        <v>0</v>
      </c>
      <c r="AA47" s="13">
        <v>0</v>
      </c>
      <c r="AB47" s="13"/>
      <c r="AC47" s="13">
        <f>(1 - CUSTOS!$M$31)*270.4776</f>
        <v>270.4776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3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77</v>
      </c>
      <c r="H48" s="18" t="s">
        <v>70</v>
      </c>
      <c r="I48" s="18">
        <f>'MERCADO TUSD'!$U$45</f>
        <v>4711.0929999999998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CUSTOS!$M$31)*108.1966</f>
        <v>108.1966</v>
      </c>
      <c r="Z48" s="13">
        <v>0</v>
      </c>
      <c r="AA48" s="13">
        <v>0</v>
      </c>
      <c r="AB48" s="13"/>
      <c r="AC48" s="13">
        <f>(1 - CUSTOS!$M$31)*391.9964</f>
        <v>391.99639999999999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3"/>
      <c r="B49" s="17" t="s">
        <v>87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77</v>
      </c>
      <c r="H49" s="18" t="s">
        <v>70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CUSTOS!$M$31)*108.1966</f>
        <v>108.1966</v>
      </c>
      <c r="Z49" s="13">
        <v>0</v>
      </c>
      <c r="AA49" s="13">
        <v>0</v>
      </c>
      <c r="AB49" s="13"/>
      <c r="AC49" s="13">
        <f>(1 - CUSTOS!$M$31)*391.9964</f>
        <v>391.99639999999999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3" t="s">
        <v>43</v>
      </c>
      <c r="B50" s="93" t="s">
        <v>23</v>
      </c>
      <c r="C50" s="93" t="s">
        <v>44</v>
      </c>
      <c r="D50" s="17" t="s">
        <v>45</v>
      </c>
      <c r="E50" s="17" t="s">
        <v>25</v>
      </c>
      <c r="F50" s="17" t="s">
        <v>25</v>
      </c>
      <c r="G50" s="18" t="s">
        <v>77</v>
      </c>
      <c r="H50" s="18" t="s">
        <v>70</v>
      </c>
      <c r="I50" s="18">
        <f>'MERCADO TUSD'!$U$47</f>
        <v>1954.79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CUSTOS!$M$32)*108.1966</f>
        <v>59.508130000000008</v>
      </c>
      <c r="Z50" s="13">
        <v>0</v>
      </c>
      <c r="AA50" s="13">
        <v>0</v>
      </c>
      <c r="AB50" s="13"/>
      <c r="AC50" s="13">
        <f>(1 - CUSTOS!$M$32)*391.9964</f>
        <v>215.59802000000002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3"/>
      <c r="B51" s="93"/>
      <c r="C51" s="93"/>
      <c r="D51" s="18" t="s">
        <v>46</v>
      </c>
      <c r="E51" s="18" t="s">
        <v>25</v>
      </c>
      <c r="F51" s="18" t="s">
        <v>25</v>
      </c>
      <c r="G51" s="18" t="s">
        <v>77</v>
      </c>
      <c r="H51" s="18" t="s">
        <v>70</v>
      </c>
      <c r="I51" s="18">
        <f>'MERCADO TUSD'!$U$48</f>
        <v>1.4530000000000001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CUSTOS!$M$33)*108.1966</f>
        <v>64.917959999999994</v>
      </c>
      <c r="Z51" s="13">
        <v>0</v>
      </c>
      <c r="AA51" s="13">
        <v>0</v>
      </c>
      <c r="AB51" s="13"/>
      <c r="AC51" s="13">
        <f>(1 - CUSTOS!$M$33)*391.9964</f>
        <v>235.19783999999999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144A-49ED-47FC-B88C-FE8E94FE7F89}">
  <dimension ref="A1:AP70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89" t="s">
        <v>60</v>
      </c>
      <c r="B1" s="89" t="s">
        <v>61</v>
      </c>
      <c r="C1" s="89" t="s">
        <v>62</v>
      </c>
      <c r="D1" s="89" t="s">
        <v>63</v>
      </c>
      <c r="E1" s="89" t="s">
        <v>64</v>
      </c>
      <c r="F1" s="89" t="s">
        <v>15</v>
      </c>
      <c r="G1" s="89" t="s">
        <v>66</v>
      </c>
      <c r="H1" s="89" t="s">
        <v>67</v>
      </c>
      <c r="I1" s="89" t="s">
        <v>452</v>
      </c>
      <c r="J1" s="82"/>
      <c r="L1" s="90" t="s">
        <v>453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P1" s="90" t="s">
        <v>454</v>
      </c>
    </row>
    <row r="2" spans="1:42" ht="11.2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82"/>
      <c r="L2" s="90" t="s">
        <v>351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P2" s="91"/>
    </row>
    <row r="3" spans="1:42" ht="11.25" customHeight="1" x14ac:dyDescent="0.25">
      <c r="A3" s="89"/>
      <c r="B3" s="89"/>
      <c r="C3" s="89"/>
      <c r="D3" s="89"/>
      <c r="E3" s="89"/>
      <c r="F3" s="89"/>
      <c r="G3" s="89"/>
      <c r="H3" s="89"/>
      <c r="I3" s="89"/>
      <c r="J3" s="82"/>
      <c r="L3" s="90" t="s">
        <v>352</v>
      </c>
      <c r="M3" s="90"/>
      <c r="N3" s="90"/>
      <c r="O3" s="90"/>
      <c r="P3" s="90"/>
      <c r="Q3" s="90"/>
      <c r="R3" s="90"/>
      <c r="S3" s="90"/>
      <c r="T3" s="90"/>
      <c r="U3" s="90" t="s">
        <v>361</v>
      </c>
      <c r="V3" s="90"/>
      <c r="W3" s="90"/>
      <c r="X3" s="90"/>
      <c r="Y3" s="90"/>
      <c r="Z3" s="90"/>
      <c r="AA3" s="90"/>
      <c r="AB3" s="90"/>
      <c r="AC3" s="90" t="s">
        <v>369</v>
      </c>
      <c r="AD3" s="90"/>
      <c r="AE3" s="90" t="s">
        <v>371</v>
      </c>
      <c r="AF3" s="90"/>
      <c r="AG3" s="90"/>
      <c r="AH3" s="90" t="s">
        <v>374</v>
      </c>
      <c r="AI3" s="90"/>
      <c r="AJ3" s="90"/>
      <c r="AK3" s="90"/>
      <c r="AL3" s="90"/>
      <c r="AM3" s="90" t="s">
        <v>360</v>
      </c>
      <c r="AP3" s="91"/>
    </row>
    <row r="4" spans="1:42" ht="11.25" customHeight="1" x14ac:dyDescent="0.25">
      <c r="A4" s="89"/>
      <c r="B4" s="89"/>
      <c r="C4" s="89"/>
      <c r="D4" s="89"/>
      <c r="E4" s="89"/>
      <c r="F4" s="89"/>
      <c r="G4" s="89"/>
      <c r="H4" s="89"/>
      <c r="I4" s="89"/>
      <c r="J4" s="82"/>
      <c r="L4" s="10" t="s">
        <v>437</v>
      </c>
      <c r="M4" s="10" t="s">
        <v>353</v>
      </c>
      <c r="N4" s="10" t="s">
        <v>354</v>
      </c>
      <c r="O4" s="10" t="s">
        <v>355</v>
      </c>
      <c r="P4" s="10" t="s">
        <v>356</v>
      </c>
      <c r="Q4" s="10" t="s">
        <v>357</v>
      </c>
      <c r="R4" s="10" t="s">
        <v>358</v>
      </c>
      <c r="S4" s="10" t="s">
        <v>359</v>
      </c>
      <c r="T4" s="10" t="s">
        <v>360</v>
      </c>
      <c r="U4" s="10" t="s">
        <v>362</v>
      </c>
      <c r="V4" s="10" t="s">
        <v>363</v>
      </c>
      <c r="W4" s="10" t="s">
        <v>364</v>
      </c>
      <c r="X4" s="10" t="s">
        <v>365</v>
      </c>
      <c r="Y4" s="10" t="s">
        <v>366</v>
      </c>
      <c r="Z4" s="10" t="s">
        <v>367</v>
      </c>
      <c r="AA4" s="10" t="s">
        <v>368</v>
      </c>
      <c r="AB4" s="10" t="s">
        <v>360</v>
      </c>
      <c r="AC4" s="10" t="s">
        <v>370</v>
      </c>
      <c r="AD4" s="10" t="s">
        <v>360</v>
      </c>
      <c r="AE4" s="10" t="s">
        <v>372</v>
      </c>
      <c r="AF4" s="10" t="s">
        <v>373</v>
      </c>
      <c r="AG4" s="10" t="s">
        <v>360</v>
      </c>
      <c r="AH4" s="10" t="s">
        <v>375</v>
      </c>
      <c r="AI4" s="10" t="s">
        <v>376</v>
      </c>
      <c r="AJ4" s="10" t="s">
        <v>377</v>
      </c>
      <c r="AK4" s="10" t="s">
        <v>378</v>
      </c>
      <c r="AL4" s="10" t="s">
        <v>360</v>
      </c>
      <c r="AM4" s="92"/>
      <c r="AP4" s="91"/>
    </row>
    <row r="5" spans="1:42" ht="11.25" customHeight="1" x14ac:dyDescent="0.25">
      <c r="A5" s="93" t="s">
        <v>35</v>
      </c>
      <c r="B5" s="93" t="s">
        <v>73</v>
      </c>
      <c r="C5" s="93" t="s">
        <v>25</v>
      </c>
      <c r="D5" s="93" t="s">
        <v>25</v>
      </c>
      <c r="E5" s="93" t="s">
        <v>25</v>
      </c>
      <c r="F5" s="93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33.180300000000003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94.189099999999996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93"/>
      <c r="B6" s="93"/>
      <c r="C6" s="93"/>
      <c r="D6" s="93"/>
      <c r="E6" s="93"/>
      <c r="F6" s="93"/>
      <c r="G6" s="18" t="s">
        <v>76</v>
      </c>
      <c r="H6" s="18" t="s">
        <v>74</v>
      </c>
      <c r="I6" s="18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13.411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26.319600000000001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93"/>
      <c r="B7" s="93"/>
      <c r="C7" s="93"/>
      <c r="D7" s="93"/>
      <c r="E7" s="93"/>
      <c r="F7" s="93"/>
      <c r="G7" s="18" t="s">
        <v>77</v>
      </c>
      <c r="H7" s="18" t="s">
        <v>70</v>
      </c>
      <c r="I7" s="18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0.82729180626564658</v>
      </c>
      <c r="N7" s="13">
        <f ca="1">(+M7+O7+R7+U7+V7+W7+X7+Y7+Z7+AA7+AC7+AH7+AI7+AJ7+AK7)*CUSTOS!$M$5</f>
        <v>1.5780291806265647E-13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6.4764999999999997</v>
      </c>
      <c r="AI7" s="13">
        <v>6.4764999999999997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25">
      <c r="A8" s="93"/>
      <c r="B8" s="93"/>
      <c r="C8" s="93"/>
      <c r="D8" s="93"/>
      <c r="E8" s="17" t="s">
        <v>78</v>
      </c>
      <c r="F8" s="17" t="s">
        <v>25</v>
      </c>
      <c r="G8" s="18" t="s">
        <v>77</v>
      </c>
      <c r="H8" s="18" t="s">
        <v>70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0.82729180626564658</v>
      </c>
      <c r="N8" s="13">
        <f ca="1">(+M8+O8+R8+U8+V8+W8+X8+Y8+Z8+AA8+AC8+AH8+AI8+AJ8+AK8)*CUSTOS!$M$5</f>
        <v>1.4780291806265646E-13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6.4764999999999997</v>
      </c>
      <c r="AI8" s="13">
        <v>6.4764999999999997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25">
      <c r="A9" s="93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v>0</v>
      </c>
      <c r="M9" s="13">
        <v>11.907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1.09E-2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93"/>
      <c r="B10" s="93" t="s">
        <v>36</v>
      </c>
      <c r="C10" s="93" t="s">
        <v>25</v>
      </c>
      <c r="D10" s="93" t="s">
        <v>25</v>
      </c>
      <c r="E10" s="93" t="s">
        <v>25</v>
      </c>
      <c r="F10" s="93" t="s">
        <v>25</v>
      </c>
      <c r="G10" s="18" t="s">
        <v>9</v>
      </c>
      <c r="H10" s="18" t="s">
        <v>74</v>
      </c>
      <c r="I10" s="18">
        <f>'MERCADO TUSD'!$U$7</f>
        <v>33489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13.411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26.319600000000001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93"/>
      <c r="B11" s="93"/>
      <c r="C11" s="93"/>
      <c r="D11" s="93"/>
      <c r="E11" s="93"/>
      <c r="F11" s="93"/>
      <c r="G11" s="18" t="s">
        <v>71</v>
      </c>
      <c r="H11" s="18" t="s">
        <v>70</v>
      </c>
      <c r="I11" s="18">
        <f>'MERCADO TUSD'!$U$8</f>
        <v>232.29900000000001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0.82729180626564658</v>
      </c>
      <c r="N11" s="13">
        <f ca="1">(+M11+O11+R11+U11+V11+W11+X11+Y11+Z11+AA11+AC11+AH11+AI11+AJ11+AK11)*CUSTOS!$M$5</f>
        <v>3.0793323918062659E-11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798.30409999999995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2265.248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6.4764999999999997</v>
      </c>
      <c r="AI11" s="13">
        <v>6.4764999999999997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25">
      <c r="A12" s="93"/>
      <c r="B12" s="93"/>
      <c r="C12" s="93"/>
      <c r="D12" s="93"/>
      <c r="E12" s="93"/>
      <c r="F12" s="93"/>
      <c r="G12" s="18" t="s">
        <v>72</v>
      </c>
      <c r="H12" s="18" t="s">
        <v>70</v>
      </c>
      <c r="I12" s="18">
        <f>'MERCADO TUSD'!$U$9</f>
        <v>7582.5569999999989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0.82729180626564658</v>
      </c>
      <c r="N12" s="13">
        <f ca="1">(+M12+O12+R12+U12+V12+W12+X12+Y12+Z12+AA12+AC12+AH12+AI12+AJ12+AK12)*CUSTOS!$M$5</f>
        <v>1.5780291806265647E-13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6.4764999999999997</v>
      </c>
      <c r="AI12" s="13">
        <v>6.4764999999999997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25">
      <c r="A13" s="93"/>
      <c r="B13" s="93"/>
      <c r="C13" s="93"/>
      <c r="D13" s="93"/>
      <c r="E13" s="93" t="s">
        <v>78</v>
      </c>
      <c r="F13" s="93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0.82729180626564658</v>
      </c>
      <c r="N13" s="13">
        <f ca="1">(+M13+O13+R13+U13+V13+W13+X13+Y13+Z13+AA13+AC13+AH13+AI13+AJ13+AK13)*CUSTOS!$M$5</f>
        <v>3.0783323918062664E-11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798.30409999999995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2265.248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6.4764999999999997</v>
      </c>
      <c r="AI13" s="13">
        <v>6.4764999999999997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25">
      <c r="A14" s="93"/>
      <c r="B14" s="93"/>
      <c r="C14" s="93"/>
      <c r="D14" s="93"/>
      <c r="E14" s="93"/>
      <c r="F14" s="93"/>
      <c r="G14" s="18" t="s">
        <v>72</v>
      </c>
      <c r="H14" s="18" t="s">
        <v>70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0.82729180626564658</v>
      </c>
      <c r="N14" s="13">
        <f ca="1">(+M14+O14+R14+U14+V14+W14+X14+Y14+Z14+AA14+AC14+AH14+AI14+AJ14+AK14)*CUSTOS!$M$5</f>
        <v>1.4780291806265646E-13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6.4764999999999997</v>
      </c>
      <c r="AI14" s="13">
        <v>6.4764999999999997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25">
      <c r="A15" s="93" t="s">
        <v>80</v>
      </c>
      <c r="B15" s="93" t="s">
        <v>79</v>
      </c>
      <c r="C15" s="93" t="s">
        <v>25</v>
      </c>
      <c r="D15" s="93" t="s">
        <v>25</v>
      </c>
      <c r="E15" s="17" t="s">
        <v>81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v>0</v>
      </c>
      <c r="M15" s="13">
        <v>1.12E-2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12.282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93"/>
      <c r="B16" s="93"/>
      <c r="C16" s="93"/>
      <c r="D16" s="93"/>
      <c r="E16" s="17" t="s">
        <v>82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v>0</v>
      </c>
      <c r="M16" s="13">
        <v>1.12E-2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24.988199999999999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93" t="s">
        <v>22</v>
      </c>
      <c r="B17" s="93" t="s">
        <v>85</v>
      </c>
      <c r="C17" s="93" t="s">
        <v>24</v>
      </c>
      <c r="D17" s="93" t="s">
        <v>24</v>
      </c>
      <c r="E17" s="93" t="s">
        <v>25</v>
      </c>
      <c r="F17" s="93" t="s">
        <v>25</v>
      </c>
      <c r="G17" s="18" t="s">
        <v>71</v>
      </c>
      <c r="H17" s="18" t="s">
        <v>70</v>
      </c>
      <c r="I17" s="18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1.8004152050590236</v>
      </c>
      <c r="N17" s="13">
        <f ca="1">(+M17+O17+R17+U17+V17+W17+X17+Y17+Z17+AA17+AC17+AH17+AI17+AJ17+AK17)*CUSTOS!$M$5</f>
        <v>1.388003015205059E-11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292.26440000000002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1058.3897999999999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16.7742</v>
      </c>
      <c r="AI17" s="13">
        <v>16.7742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25">
      <c r="A18" s="93"/>
      <c r="B18" s="93"/>
      <c r="C18" s="93"/>
      <c r="D18" s="93"/>
      <c r="E18" s="93"/>
      <c r="F18" s="93"/>
      <c r="G18" s="18" t="s">
        <v>83</v>
      </c>
      <c r="H18" s="18" t="s">
        <v>70</v>
      </c>
      <c r="I18" s="18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1.8004152050590236</v>
      </c>
      <c r="N18" s="13">
        <f ca="1">(+M18+O18+R18+U18+V18+W18+X18+Y18+Z18+AA18+AC18+AH18+AI18+AJ18+AK18)*CUSTOS!$M$5</f>
        <v>8.47741715205059E-12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175.3587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635.03420000000006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16.7742</v>
      </c>
      <c r="AI18" s="13">
        <v>16.7742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25">
      <c r="A19" s="93"/>
      <c r="B19" s="93"/>
      <c r="C19" s="93"/>
      <c r="D19" s="93"/>
      <c r="E19" s="93"/>
      <c r="F19" s="93"/>
      <c r="G19" s="18" t="s">
        <v>72</v>
      </c>
      <c r="H19" s="18" t="s">
        <v>70</v>
      </c>
      <c r="I19" s="18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1.8004152050590236</v>
      </c>
      <c r="N19" s="13">
        <f ca="1">(+M19+O19+R19+U19+V19+W19+X19+Y19+Z19+AA19+AC19+AH19+AI19+AJ19+AK19)*CUSTOS!$M$5</f>
        <v>3.0753291520505907E-12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58.506300000000003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211.67779999999999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16.7742</v>
      </c>
      <c r="AI19" s="13">
        <v>16.7742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25">
      <c r="A20" s="93"/>
      <c r="B20" s="93" t="s">
        <v>23</v>
      </c>
      <c r="C20" s="93" t="s">
        <v>24</v>
      </c>
      <c r="D20" s="17" t="s">
        <v>24</v>
      </c>
      <c r="E20" s="17" t="s">
        <v>25</v>
      </c>
      <c r="F20" s="17" t="s">
        <v>25</v>
      </c>
      <c r="G20" s="18" t="s">
        <v>77</v>
      </c>
      <c r="H20" s="18" t="s">
        <v>70</v>
      </c>
      <c r="I20" s="18">
        <f>'MERCADO TUSD'!$U$17</f>
        <v>10122.061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1.8004152050590236</v>
      </c>
      <c r="N20" s="13">
        <f ca="1">(+M20+O20+R20+U20+V20+W20+X20+Y20+Z20+AA20+AC20+AH20+AI20+AJ20+AK20)*CUSTOS!$M$5</f>
        <v>5.3754181520505895E-12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108.1966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391.99639999999999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16.7742</v>
      </c>
      <c r="AI20" s="13">
        <v>16.7742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25">
      <c r="A21" s="93"/>
      <c r="B21" s="93"/>
      <c r="C21" s="93"/>
      <c r="D21" s="17" t="s">
        <v>29</v>
      </c>
      <c r="E21" s="17" t="s">
        <v>25</v>
      </c>
      <c r="F21" s="17" t="s">
        <v>25</v>
      </c>
      <c r="G21" s="18" t="s">
        <v>77</v>
      </c>
      <c r="H21" s="18" t="s">
        <v>70</v>
      </c>
      <c r="I21" s="18">
        <f>'MERCADO TUSD'!$U$18</f>
        <v>111.12200000000001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1.8004152050590236</v>
      </c>
      <c r="N21" s="13">
        <f ca="1">(+M21+O21+R21+U21+V21+W21+X21+Y21+Z21+AA21+AC21+AH21+AI21+AJ21+AK21)*CUSTOS!$M$5</f>
        <v>5.3654181520505893E-12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108.1966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391.99639999999999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CUSTOS!$M$24)*16.7742</f>
        <v>16.7742</v>
      </c>
      <c r="AI21" s="13">
        <f>(1 - CUSTOS!$M$24)*16.7742</f>
        <v>16.7742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93"/>
      <c r="B22" s="93"/>
      <c r="C22" s="93"/>
      <c r="D22" s="17" t="s">
        <v>30</v>
      </c>
      <c r="E22" s="17" t="s">
        <v>25</v>
      </c>
      <c r="F22" s="17" t="s">
        <v>25</v>
      </c>
      <c r="G22" s="18" t="s">
        <v>77</v>
      </c>
      <c r="H22" s="18" t="s">
        <v>70</v>
      </c>
      <c r="I22" s="18">
        <f>'MERCADO TUSD'!$U$19</f>
        <v>223.66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1.8004152050590236</v>
      </c>
      <c r="N22" s="13">
        <f ca="1">(+M22+O22+R22+U22+V22+W22+X22+Y22+Z22+AA22+AC22+AH22+AI22+AJ22+AK22)*CUSTOS!$M$5</f>
        <v>5.3654181520505893E-12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108.1966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391.99639999999999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CUSTOS!$M$25)*16.7742</f>
        <v>16.7742</v>
      </c>
      <c r="AI22" s="13">
        <f>(1 - CUSTOS!$M$25)*16.7742</f>
        <v>16.7742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93"/>
      <c r="B23" s="93"/>
      <c r="C23" s="93"/>
      <c r="D23" s="17" t="s">
        <v>31</v>
      </c>
      <c r="E23" s="17" t="s">
        <v>25</v>
      </c>
      <c r="F23" s="17" t="s">
        <v>25</v>
      </c>
      <c r="G23" s="18" t="s">
        <v>77</v>
      </c>
      <c r="H23" s="18" t="s">
        <v>70</v>
      </c>
      <c r="I23" s="18">
        <f>'MERCADO TUSD'!$U$20</f>
        <v>229.345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1.8004152050590236</v>
      </c>
      <c r="N23" s="13">
        <f ca="1">(+M23+O23+R23+U23+V23+W23+X23+Y23+Z23+AA23+AC23+AH23+AI23+AJ23+AK23)*CUSTOS!$M$5</f>
        <v>5.3654181520505893E-12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108.1966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391.99639999999999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CUSTOS!$M$26)*16.7742</f>
        <v>16.7742</v>
      </c>
      <c r="AI23" s="13">
        <f>(1 - CUSTOS!$M$26)*16.7742</f>
        <v>16.7742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93"/>
      <c r="B24" s="93"/>
      <c r="C24" s="93"/>
      <c r="D24" s="17" t="s">
        <v>32</v>
      </c>
      <c r="E24" s="17" t="s">
        <v>25</v>
      </c>
      <c r="F24" s="17" t="s">
        <v>25</v>
      </c>
      <c r="G24" s="18" t="s">
        <v>77</v>
      </c>
      <c r="H24" s="18" t="s">
        <v>70</v>
      </c>
      <c r="I24" s="18">
        <f>'MERCADO TUSD'!$U$21</f>
        <v>103.19500000000001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1.8004152050590236</v>
      </c>
      <c r="N24" s="13">
        <f ca="1">(+M24+O24+R24+U24+V24+W24+X24+Y24+Z24+AA24+AC24+AH24+AI24+AJ24+AK24)*CUSTOS!$M$5</f>
        <v>5.3654181520505893E-12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108.1966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391.99639999999999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CUSTOS!$M$27)*16.7742</f>
        <v>16.7742</v>
      </c>
      <c r="AI24" s="13">
        <f>(1 - CUSTOS!$M$27)*16.7742</f>
        <v>16.7742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93"/>
      <c r="B25" s="93" t="s">
        <v>87</v>
      </c>
      <c r="C25" s="93" t="s">
        <v>24</v>
      </c>
      <c r="D25" s="17" t="s">
        <v>24</v>
      </c>
      <c r="E25" s="17" t="s">
        <v>25</v>
      </c>
      <c r="F25" s="17" t="s">
        <v>25</v>
      </c>
      <c r="G25" s="18" t="s">
        <v>77</v>
      </c>
      <c r="H25" s="18" t="s">
        <v>70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1.8004152050590236</v>
      </c>
      <c r="N25" s="13">
        <f ca="1">(+M25+O25+R25+U25+V25+W25+X25+Y25+Z25+AA25+AC25+AH25+AI25+AJ25+AK25)*CUSTOS!$M$5</f>
        <v>5.3754181520505895E-12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108.1966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391.99639999999999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16.7742</v>
      </c>
      <c r="AI25" s="13">
        <v>16.7742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25">
      <c r="A26" s="93"/>
      <c r="B26" s="93"/>
      <c r="C26" s="93"/>
      <c r="D26" s="17" t="s">
        <v>29</v>
      </c>
      <c r="E26" s="17" t="s">
        <v>25</v>
      </c>
      <c r="F26" s="17" t="s">
        <v>25</v>
      </c>
      <c r="G26" s="18" t="s">
        <v>77</v>
      </c>
      <c r="H26" s="18" t="s">
        <v>70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1.8004152050590236</v>
      </c>
      <c r="N26" s="13">
        <f ca="1">(+M26+O26+R26+U26+V26+W26+X26+Y26+Z26+AA26+AC26+AH26+AI26+AJ26+AK26)*CUSTOS!$M$5</f>
        <v>5.3654181520505893E-12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108.1966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391.99639999999999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CUSTOS!$M$24)*16.7742</f>
        <v>16.7742</v>
      </c>
      <c r="AI26" s="13">
        <f>(1 - CUSTOS!$M$24)*16.7742</f>
        <v>16.7742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93"/>
      <c r="B27" s="93"/>
      <c r="C27" s="93"/>
      <c r="D27" s="17" t="s">
        <v>30</v>
      </c>
      <c r="E27" s="17" t="s">
        <v>25</v>
      </c>
      <c r="F27" s="17" t="s">
        <v>25</v>
      </c>
      <c r="G27" s="18" t="s">
        <v>77</v>
      </c>
      <c r="H27" s="18" t="s">
        <v>70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1.8004152050590236</v>
      </c>
      <c r="N27" s="13">
        <f ca="1">(+M27+O27+R27+U27+V27+W27+X27+Y27+Z27+AA27+AC27+AH27+AI27+AJ27+AK27)*CUSTOS!$M$5</f>
        <v>5.3654181520505893E-12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108.1966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391.99639999999999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CUSTOS!$M$25)*16.7742</f>
        <v>16.7742</v>
      </c>
      <c r="AI27" s="13">
        <f>(1 - CUSTOS!$M$25)*16.7742</f>
        <v>16.7742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93"/>
      <c r="B28" s="93"/>
      <c r="C28" s="93"/>
      <c r="D28" s="17" t="s">
        <v>31</v>
      </c>
      <c r="E28" s="17" t="s">
        <v>25</v>
      </c>
      <c r="F28" s="17" t="s">
        <v>25</v>
      </c>
      <c r="G28" s="18" t="s">
        <v>77</v>
      </c>
      <c r="H28" s="18" t="s">
        <v>70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1.8004152050590236</v>
      </c>
      <c r="N28" s="13">
        <f ca="1">(+M28+O28+R28+U28+V28+W28+X28+Y28+Z28+AA28+AC28+AH28+AI28+AJ28+AK28)*CUSTOS!$M$5</f>
        <v>5.3654181520505893E-12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108.1966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391.99639999999999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CUSTOS!$M$26)*16.7742</f>
        <v>16.7742</v>
      </c>
      <c r="AI28" s="13">
        <f>(1 - CUSTOS!$M$26)*16.7742</f>
        <v>16.7742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93"/>
      <c r="B29" s="93"/>
      <c r="C29" s="93"/>
      <c r="D29" s="17" t="s">
        <v>32</v>
      </c>
      <c r="E29" s="17" t="s">
        <v>25</v>
      </c>
      <c r="F29" s="17" t="s">
        <v>25</v>
      </c>
      <c r="G29" s="18" t="s">
        <v>77</v>
      </c>
      <c r="H29" s="18" t="s">
        <v>70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1.8004152050590236</v>
      </c>
      <c r="N29" s="13">
        <f ca="1">(+M29+O29+R29+U29+V29+W29+X29+Y29+Z29+AA29+AC29+AH29+AI29+AJ29+AK29)*CUSTOS!$M$5</f>
        <v>5.3654181520505893E-12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108.1966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391.99639999999999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CUSTOS!$M$27)*16.7742</f>
        <v>16.7742</v>
      </c>
      <c r="AI29" s="13">
        <f>(1 - CUSTOS!$M$27)*16.7742</f>
        <v>16.7742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93" t="s">
        <v>40</v>
      </c>
      <c r="B30" s="93" t="s">
        <v>85</v>
      </c>
      <c r="C30" s="93" t="s">
        <v>41</v>
      </c>
      <c r="D30" s="93" t="s">
        <v>25</v>
      </c>
      <c r="E30" s="93" t="s">
        <v>25</v>
      </c>
      <c r="F30" s="93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1.8004152050590236</v>
      </c>
      <c r="N30" s="13">
        <f ca="1">(+M30+O30+R30+U30+V30+W30+X30+Y30+Z30+AA30+AC30+AH30+AI30+AJ30+AK30)*CUSTOS!$M$5</f>
        <v>1.5671098152050592E-11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373.37189999999998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1156.3891000000001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CUSTOS!$M$28)*16.7742</f>
        <v>16.7742</v>
      </c>
      <c r="AI30" s="13">
        <f>(1 - CUSTOS!$M$28)*16.7742</f>
        <v>16.7742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93"/>
      <c r="B31" s="93"/>
      <c r="C31" s="93"/>
      <c r="D31" s="93"/>
      <c r="E31" s="93"/>
      <c r="F31" s="93"/>
      <c r="G31" s="18" t="s">
        <v>83</v>
      </c>
      <c r="H31" s="18" t="s">
        <v>70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1.8004152050590236</v>
      </c>
      <c r="N31" s="13">
        <f ca="1">(+M31+O31+R31+U31+V31+W31+X31+Y31+Z31+AA31+AC31+AH31+AI31+AJ31+AK31)*CUSTOS!$M$5</f>
        <v>9.5516241520505896E-12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223.9803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693.83330000000001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CUSTOS!$M$28)*16.7742</f>
        <v>16.7742</v>
      </c>
      <c r="AI31" s="13">
        <f>(1 - CUSTOS!$M$28)*16.7742</f>
        <v>16.7742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93"/>
      <c r="B32" s="93"/>
      <c r="C32" s="93"/>
      <c r="D32" s="93"/>
      <c r="E32" s="93"/>
      <c r="F32" s="93"/>
      <c r="G32" s="18" t="s">
        <v>72</v>
      </c>
      <c r="H32" s="18" t="s">
        <v>70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1.8004152050590236</v>
      </c>
      <c r="N32" s="13">
        <f ca="1">(+M32+O32+R32+U32+V32+W32+X32+Y32+Z32+AA32+AC32+AH32+AI32+AJ32+AK32)*CUSTOS!$M$5</f>
        <v>3.4326881520505906E-12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74.642300000000006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231.27770000000001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CUSTOS!$M$28)*16.7742</f>
        <v>16.7742</v>
      </c>
      <c r="AI32" s="13">
        <f>(1 - CUSTOS!$M$28)*16.7742</f>
        <v>16.7742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93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77</v>
      </c>
      <c r="H33" s="18" t="s">
        <v>70</v>
      </c>
      <c r="I33" s="18">
        <f>'MERCADO TUSD'!$U$30</f>
        <v>3283.42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1.8004152050590236</v>
      </c>
      <c r="N33" s="13">
        <f ca="1">(+M33+O33+R33+U33+V33+W33+X33+Y33+Z33+AA33+AC33+AH33+AI33+AJ33+AK33)*CUSTOS!$M$5</f>
        <v>5.3754181520505895E-12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108.1966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391.99639999999999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CUSTOS!$M$28)*16.7742</f>
        <v>16.7742</v>
      </c>
      <c r="AI33" s="13">
        <f>(1 - CUSTOS!$M$28)*16.7742</f>
        <v>16.7742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93"/>
      <c r="B34" s="93" t="s">
        <v>85</v>
      </c>
      <c r="C34" s="93" t="s">
        <v>41</v>
      </c>
      <c r="D34" s="93" t="s">
        <v>88</v>
      </c>
      <c r="E34" s="93" t="s">
        <v>25</v>
      </c>
      <c r="F34" s="93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1.8004152050590236</v>
      </c>
      <c r="N34" s="13">
        <f ca="1">(+M34+O34+R34+U34+V34+W34+X34+Y34+Z34+AA34+AC34+AH34+AI34+AJ34+AK34)*CUSTOS!$M$5</f>
        <v>1.5671098152050592E-11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373.37189999999998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1156.3891000000001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CUSTOS!$M$29)*16.7742</f>
        <v>16.7742</v>
      </c>
      <c r="AI34" s="13">
        <f>(1 - CUSTOS!$M$29)*16.7742</f>
        <v>16.7742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93"/>
      <c r="B35" s="93"/>
      <c r="C35" s="93"/>
      <c r="D35" s="93"/>
      <c r="E35" s="93"/>
      <c r="F35" s="93"/>
      <c r="G35" s="18" t="s">
        <v>83</v>
      </c>
      <c r="H35" s="18" t="s">
        <v>70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1.8004152050590236</v>
      </c>
      <c r="N35" s="13">
        <f ca="1">(+M35+O35+R35+U35+V35+W35+X35+Y35+Z35+AA35+AC35+AH35+AI35+AJ35+AK35)*CUSTOS!$M$5</f>
        <v>9.5516241520505896E-12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223.9803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693.83330000000001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CUSTOS!$M$29)*16.7742</f>
        <v>16.7742</v>
      </c>
      <c r="AI35" s="13">
        <f>(1 - CUSTOS!$M$29)*16.7742</f>
        <v>16.7742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93"/>
      <c r="B36" s="93"/>
      <c r="C36" s="93"/>
      <c r="D36" s="93"/>
      <c r="E36" s="93"/>
      <c r="F36" s="93"/>
      <c r="G36" s="18" t="s">
        <v>72</v>
      </c>
      <c r="H36" s="18" t="s">
        <v>70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1.8004152050590236</v>
      </c>
      <c r="N36" s="13">
        <f ca="1">(+M36+O36+R36+U36+V36+W36+X36+Y36+Z36+AA36+AC36+AH36+AI36+AJ36+AK36)*CUSTOS!$M$5</f>
        <v>3.4326881520505906E-12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74.642300000000006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231.27770000000001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CUSTOS!$M$29)*16.7742</f>
        <v>16.7742</v>
      </c>
      <c r="AI36" s="13">
        <f>(1 - CUSTOS!$M$29)*16.7742</f>
        <v>16.7742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93"/>
      <c r="B37" s="17" t="s">
        <v>23</v>
      </c>
      <c r="C37" s="17" t="s">
        <v>41</v>
      </c>
      <c r="D37" s="17" t="s">
        <v>88</v>
      </c>
      <c r="E37" s="17" t="s">
        <v>25</v>
      </c>
      <c r="F37" s="17" t="s">
        <v>25</v>
      </c>
      <c r="G37" s="18" t="s">
        <v>77</v>
      </c>
      <c r="H37" s="18" t="s">
        <v>70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1.8004152050590236</v>
      </c>
      <c r="N37" s="13">
        <f ca="1">(+M37+O37+R37+U37+V37+W37+X37+Y37+Z37+AA37+AC37+AH37+AI37+AJ37+AK37)*CUSTOS!$M$5</f>
        <v>5.3754181520505895E-12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108.1966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391.99639999999999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CUSTOS!$M$29)*16.7742</f>
        <v>16.7742</v>
      </c>
      <c r="AI37" s="13">
        <f>(1 - CUSTOS!$M$29)*16.7742</f>
        <v>16.7742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93"/>
      <c r="B38" s="93" t="s">
        <v>85</v>
      </c>
      <c r="C38" s="93" t="s">
        <v>41</v>
      </c>
      <c r="D38" s="93" t="s">
        <v>89</v>
      </c>
      <c r="E38" s="93" t="s">
        <v>25</v>
      </c>
      <c r="F38" s="93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1.8004152050590236</v>
      </c>
      <c r="N38" s="13">
        <f ca="1">(+M38+O38+R38+U38+V38+W38+X38+Y38+Z38+AA38+AC38+AH38+AI38+AJ38+AK38)*CUSTOS!$M$5</f>
        <v>1.5671098152050592E-11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373.37189999999998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1156.3891000000001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CUSTOS!$M$30)*16.7742</f>
        <v>16.7742</v>
      </c>
      <c r="AI38" s="13">
        <f>(1 - CUSTOS!$M$30)*16.7742</f>
        <v>16.7742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93"/>
      <c r="B39" s="93"/>
      <c r="C39" s="93"/>
      <c r="D39" s="93"/>
      <c r="E39" s="93"/>
      <c r="F39" s="93"/>
      <c r="G39" s="18" t="s">
        <v>83</v>
      </c>
      <c r="H39" s="18" t="s">
        <v>70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1.8004152050590236</v>
      </c>
      <c r="N39" s="13">
        <f ca="1">(+M39+O39+R39+U39+V39+W39+X39+Y39+Z39+AA39+AC39+AH39+AI39+AJ39+AK39)*CUSTOS!$M$5</f>
        <v>9.5516241520505896E-12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223.9803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693.83330000000001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CUSTOS!$M$30)*16.7742</f>
        <v>16.7742</v>
      </c>
      <c r="AI39" s="13">
        <f>(1 - CUSTOS!$M$30)*16.7742</f>
        <v>16.7742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93"/>
      <c r="B40" s="93"/>
      <c r="C40" s="93"/>
      <c r="D40" s="93"/>
      <c r="E40" s="93"/>
      <c r="F40" s="93"/>
      <c r="G40" s="18" t="s">
        <v>72</v>
      </c>
      <c r="H40" s="18" t="s">
        <v>70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1.8004152050590236</v>
      </c>
      <c r="N40" s="13">
        <f ca="1">(+M40+O40+R40+U40+V40+W40+X40+Y40+Z40+AA40+AC40+AH40+AI40+AJ40+AK40)*CUSTOS!$M$5</f>
        <v>3.4326881520505906E-12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74.642300000000006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231.27770000000001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CUSTOS!$M$30)*16.7742</f>
        <v>16.7742</v>
      </c>
      <c r="AI40" s="13">
        <f>(1 - CUSTOS!$M$30)*16.7742</f>
        <v>16.7742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93"/>
      <c r="B41" s="17" t="s">
        <v>23</v>
      </c>
      <c r="C41" s="17" t="s">
        <v>41</v>
      </c>
      <c r="D41" s="17" t="s">
        <v>89</v>
      </c>
      <c r="E41" s="17" t="s">
        <v>25</v>
      </c>
      <c r="F41" s="17" t="s">
        <v>25</v>
      </c>
      <c r="G41" s="18" t="s">
        <v>77</v>
      </c>
      <c r="H41" s="18" t="s">
        <v>70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1.8004152050590236</v>
      </c>
      <c r="N41" s="13">
        <f ca="1">(+M41+O41+R41+U41+V41+W41+X41+Y41+Z41+AA41+AC41+AH41+AI41+AJ41+AK41)*CUSTOS!$M$5</f>
        <v>5.3754181520505895E-12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108.1966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391.99639999999999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CUSTOS!$M$30)*16.7742</f>
        <v>16.7742</v>
      </c>
      <c r="AI41" s="13">
        <f>(1 - CUSTOS!$M$30)*16.7742</f>
        <v>16.7742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93"/>
      <c r="B42" s="93" t="s">
        <v>87</v>
      </c>
      <c r="C42" s="93" t="s">
        <v>41</v>
      </c>
      <c r="D42" s="17" t="s">
        <v>25</v>
      </c>
      <c r="E42" s="17" t="s">
        <v>25</v>
      </c>
      <c r="F42" s="17" t="s">
        <v>25</v>
      </c>
      <c r="G42" s="18" t="s">
        <v>77</v>
      </c>
      <c r="H42" s="18" t="s">
        <v>70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1.8004152050590236</v>
      </c>
      <c r="N42" s="13">
        <f ca="1">(+M42+O42+R42+U42+V42+W42+X42+Y42+Z42+AA42+AC42+AH42+AI42+AJ42+AK42)*CUSTOS!$M$5</f>
        <v>5.3754181520505895E-12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108.1966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391.99639999999999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CUSTOS!$M$28)*16.7742</f>
        <v>16.7742</v>
      </c>
      <c r="AI42" s="13">
        <f>(1 - CUSTOS!$M$28)*16.7742</f>
        <v>16.7742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93"/>
      <c r="B43" s="93"/>
      <c r="C43" s="93"/>
      <c r="D43" s="17" t="s">
        <v>88</v>
      </c>
      <c r="E43" s="17" t="s">
        <v>25</v>
      </c>
      <c r="F43" s="17" t="s">
        <v>25</v>
      </c>
      <c r="G43" s="18" t="s">
        <v>77</v>
      </c>
      <c r="H43" s="18" t="s">
        <v>70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1.8004152050590236</v>
      </c>
      <c r="N43" s="13">
        <f ca="1">(+M43+O43+R43+U43+V43+W43+X43+Y43+Z43+AA43+AC43+AH43+AI43+AJ43+AK43)*CUSTOS!$M$5</f>
        <v>5.3754181520505895E-12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108.1966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391.99639999999999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CUSTOS!$M$29)*16.7742</f>
        <v>16.7742</v>
      </c>
      <c r="AI43" s="13">
        <f>(1 - CUSTOS!$M$29)*16.7742</f>
        <v>16.7742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93"/>
      <c r="B44" s="93"/>
      <c r="C44" s="93"/>
      <c r="D44" s="17" t="s">
        <v>89</v>
      </c>
      <c r="E44" s="17" t="s">
        <v>25</v>
      </c>
      <c r="F44" s="17" t="s">
        <v>25</v>
      </c>
      <c r="G44" s="18" t="s">
        <v>77</v>
      </c>
      <c r="H44" s="18" t="s">
        <v>70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1.8004152050590236</v>
      </c>
      <c r="N44" s="13">
        <f ca="1">(+M44+O44+R44+U44+V44+W44+X44+Y44+Z44+AA44+AC44+AH44+AI44+AJ44+AK44)*CUSTOS!$M$5</f>
        <v>5.3754181520505895E-12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108.1966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391.99639999999999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CUSTOS!$M$30)*16.7742</f>
        <v>16.7742</v>
      </c>
      <c r="AI44" s="13">
        <f>(1 - CUSTOS!$M$30)*16.7742</f>
        <v>16.7742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93" t="s">
        <v>33</v>
      </c>
      <c r="B45" s="93" t="s">
        <v>85</v>
      </c>
      <c r="C45" s="93" t="s">
        <v>25</v>
      </c>
      <c r="D45" s="93" t="s">
        <v>25</v>
      </c>
      <c r="E45" s="93" t="s">
        <v>25</v>
      </c>
      <c r="F45" s="93" t="s">
        <v>25</v>
      </c>
      <c r="G45" s="18" t="s">
        <v>71</v>
      </c>
      <c r="H45" s="18" t="s">
        <v>70</v>
      </c>
      <c r="I45" s="18">
        <f>'MERCADO TUSD'!$U$42</f>
        <v>0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1.8004152050590236</v>
      </c>
      <c r="N45" s="13">
        <f ca="1">(+M45+O45+R45+U45+V45+W45+X45+Y45+Z45+AA45+AC45+AH45+AI45+AJ45+AK45)*CUSTOS!$M$5</f>
        <v>1.7631077152050592E-11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373.37189999999998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1352.3869999999999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CUSTOS!$M$31)*16.7742</f>
        <v>16.7742</v>
      </c>
      <c r="AI45" s="13">
        <f>(1 - CUSTOS!$M$31)*16.7742</f>
        <v>16.7742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93"/>
      <c r="B46" s="93"/>
      <c r="C46" s="93"/>
      <c r="D46" s="93"/>
      <c r="E46" s="93"/>
      <c r="F46" s="93"/>
      <c r="G46" s="18" t="s">
        <v>83</v>
      </c>
      <c r="H46" s="18" t="s">
        <v>70</v>
      </c>
      <c r="I46" s="18">
        <f>'MERCADO TUSD'!$U$43</f>
        <v>0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1.8004152050590236</v>
      </c>
      <c r="N46" s="13">
        <f ca="1">(+M46+O46+R46+U46+V46+W46+X46+Y46+Z46+AA46+AC46+AH46+AI46+AJ46+AK46)*CUSTOS!$M$5</f>
        <v>1.0727612152050591E-11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223.9803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811.43209999999999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CUSTOS!$M$31)*16.7742</f>
        <v>16.7742</v>
      </c>
      <c r="AI46" s="13">
        <f>(1 - CUSTOS!$M$31)*16.7742</f>
        <v>16.7742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93"/>
      <c r="B47" s="93"/>
      <c r="C47" s="93"/>
      <c r="D47" s="93"/>
      <c r="E47" s="93"/>
      <c r="F47" s="93"/>
      <c r="G47" s="18" t="s">
        <v>72</v>
      </c>
      <c r="H47" s="18" t="s">
        <v>70</v>
      </c>
      <c r="I47" s="18">
        <f>'MERCADO TUSD'!$U$44</f>
        <v>0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1.8004152050590236</v>
      </c>
      <c r="N47" s="13">
        <f ca="1">(+M47+O47+R47+U47+V47+W47+X47+Y47+Z47+AA47+AC47+AH47+AI47+AJ47+AK47)*CUSTOS!$M$5</f>
        <v>3.8246871520505903E-12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74.642300000000006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270.4776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CUSTOS!$M$31)*16.7742</f>
        <v>16.7742</v>
      </c>
      <c r="AI47" s="13">
        <f>(1 - CUSTOS!$M$31)*16.7742</f>
        <v>16.7742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93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77</v>
      </c>
      <c r="H48" s="18" t="s">
        <v>70</v>
      </c>
      <c r="I48" s="18">
        <f>'MERCADO TUSD'!$U$45</f>
        <v>4711.0929999999998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1.8004152050590236</v>
      </c>
      <c r="N48" s="13">
        <f ca="1">(+M48+O48+R48+U48+V48+W48+X48+Y48+Z48+AA48+AC48+AH48+AI48+AJ48+AK48)*CUSTOS!$M$5</f>
        <v>5.3754181520505895E-12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108.1966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391.99639999999999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CUSTOS!$M$31)*16.7742</f>
        <v>16.7742</v>
      </c>
      <c r="AI48" s="13">
        <f>(1 - CUSTOS!$M$31)*16.7742</f>
        <v>16.7742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93"/>
      <c r="B49" s="17" t="s">
        <v>87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77</v>
      </c>
      <c r="H49" s="18" t="s">
        <v>70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1.8004152050590236</v>
      </c>
      <c r="N49" s="13">
        <f ca="1">(+M49+O49+R49+U49+V49+W49+X49+Y49+Z49+AA49+AC49+AH49+AI49+AJ49+AK49)*CUSTOS!$M$5</f>
        <v>5.3754181520505895E-12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108.1966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391.99639999999999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CUSTOS!$M$31)*16.7742</f>
        <v>16.7742</v>
      </c>
      <c r="AI49" s="13">
        <f>(1 - CUSTOS!$M$31)*16.7742</f>
        <v>16.7742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93" t="s">
        <v>43</v>
      </c>
      <c r="B50" s="93" t="s">
        <v>23</v>
      </c>
      <c r="C50" s="93" t="s">
        <v>44</v>
      </c>
      <c r="D50" s="17" t="s">
        <v>45</v>
      </c>
      <c r="E50" s="17" t="s">
        <v>25</v>
      </c>
      <c r="F50" s="17" t="s">
        <v>25</v>
      </c>
      <c r="G50" s="18" t="s">
        <v>77</v>
      </c>
      <c r="H50" s="18" t="s">
        <v>70</v>
      </c>
      <c r="I50" s="18">
        <f>'MERCADO TUSD'!$U$47</f>
        <v>1954.79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0.99022836278246307</v>
      </c>
      <c r="N50" s="13">
        <f ca="1">(+M50+O50+R50+U50+V50+W50+X50+Y50+Z50+AA50+AC50+AH50+AI50+AJ50+AK50)*CUSTOS!$M$5</f>
        <v>2.9564799836278253E-12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59.508130000000008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215.59802000000002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CUSTOS!$M$32)*16.7742</f>
        <v>9.225810000000001</v>
      </c>
      <c r="AI50" s="13">
        <f>(1 - CUSTOS!$M$32)*16.7742</f>
        <v>9.225810000000001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93"/>
      <c r="B51" s="93"/>
      <c r="C51" s="93"/>
      <c r="D51" s="18" t="s">
        <v>46</v>
      </c>
      <c r="E51" s="18" t="s">
        <v>25</v>
      </c>
      <c r="F51" s="18" t="s">
        <v>25</v>
      </c>
      <c r="G51" s="18" t="s">
        <v>77</v>
      </c>
      <c r="H51" s="18" t="s">
        <v>70</v>
      </c>
      <c r="I51" s="18">
        <f>'MERCADO TUSD'!$U$48</f>
        <v>1.4530000000000001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1.0802491230354141</v>
      </c>
      <c r="N51" s="13">
        <f ca="1">(+M51+O51+R51+U51+V51+W51+X51+Y51+Z51+AA51+AC51+AH51+AI51+AJ51+AK51)*CUSTOS!$M$5</f>
        <v>3.2252508912303539E-12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64.917959999999994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235.19783999999999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CUSTOS!$M$33)*16.7742</f>
        <v>10.06452</v>
      </c>
      <c r="AI51" s="13">
        <f>(1 - CUSTOS!$M$33)*16.7742</f>
        <v>10.06452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455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456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457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25757.05934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42221.236407852819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1.1509841407518971E-7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27674.758300000001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27007.436300000001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25757.05934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27007.436300000001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27674.758300000001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2783340.1283180797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9192642.1355040912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383746.88804465998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383746.88804465998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25">
      <c r="K56" s="16" t="s">
        <v>393</v>
      </c>
      <c r="L56" s="13">
        <f>CUSTOS!$D$2</f>
        <v>0</v>
      </c>
      <c r="M56" s="13">
        <f>CUSTOS!$D$3</f>
        <v>43806.02794658357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2380089.2903099996</v>
      </c>
      <c r="R56" s="13">
        <f>CUSTOS!$D$8</f>
        <v>394052.81948999997</v>
      </c>
      <c r="S56" s="13">
        <f>CUSTOS!$D$9</f>
        <v>0</v>
      </c>
      <c r="T56" s="13">
        <f>CUSTOS!$D$10</f>
        <v>2817948.1377465832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3000554.5575799998</v>
      </c>
      <c r="Z56" s="13">
        <f>Z54</f>
        <v>0</v>
      </c>
      <c r="AA56" s="13">
        <f>AA54</f>
        <v>0</v>
      </c>
      <c r="AB56" s="13">
        <f>CUSTOS!$D$18</f>
        <v>3000554.5575799998</v>
      </c>
      <c r="AC56" s="13">
        <f>CUSTOS!$D$19</f>
        <v>9970000</v>
      </c>
      <c r="AD56" s="13">
        <f>CUSTOS!$D$20</f>
        <v>9970000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307181.96263148834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307181.96263148834</v>
      </c>
      <c r="AM56" s="13">
        <f>CUSTOS!$D$29</f>
        <v>16095684.657958072</v>
      </c>
    </row>
    <row r="57" spans="1:42" ht="11.25" customHeight="1" x14ac:dyDescent="0.25">
      <c r="K57" s="16" t="s">
        <v>394</v>
      </c>
      <c r="L57" s="13">
        <f>CUSTOS!$E$2</f>
        <v>0</v>
      </c>
      <c r="M57" s="13">
        <f>CUSTOS!$E$3</f>
        <v>-650.1728378535588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-11615.655628564573</v>
      </c>
      <c r="R57" s="13">
        <f>CUSTOS!$E$8</f>
        <v>-1842.6577454173989</v>
      </c>
      <c r="S57" s="13">
        <f>CUSTOS!$E$9</f>
        <v>0</v>
      </c>
      <c r="T57" s="13">
        <f>CUSTOS!$E$10</f>
        <v>-14108.48621183553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147750.74491294715</v>
      </c>
      <c r="Z57" s="13">
        <f>CUSTOS!$E$16</f>
        <v>0</v>
      </c>
      <c r="AA57" s="13">
        <f>CUSTOS!$E$17</f>
        <v>0</v>
      </c>
      <c r="AB57" s="13">
        <f>CUSTOS!$E$18</f>
        <v>147750.74491294715</v>
      </c>
      <c r="AC57" s="13">
        <f>CUSTOS!$E$19</f>
        <v>-3251682.4567118082</v>
      </c>
      <c r="AD57" s="13">
        <f>CUSTOS!$E$20</f>
        <v>-3251682.4567118082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-20583.934780884403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-20583.934780884403</v>
      </c>
      <c r="AM57" s="13">
        <f>CUSTOS!$E$29</f>
        <v>-3138624.1327915811</v>
      </c>
    </row>
    <row r="58" spans="1:42" ht="11.25" customHeight="1" x14ac:dyDescent="0.25">
      <c r="K58" s="16" t="s">
        <v>395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458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459</v>
      </c>
      <c r="L60" s="13">
        <f t="shared" ref="L60:S60" si="1">IF((L55+L53)&lt;&gt;0,(L56-L54-L59)/(L55+L53),0)</f>
        <v>0</v>
      </c>
      <c r="M60" s="13">
        <f t="shared" si="1"/>
        <v>1.0375354128292651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92.405319213353948</v>
      </c>
      <c r="R60" s="13">
        <f t="shared" si="1"/>
        <v>14.590530367741716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1.078040921787442</v>
      </c>
      <c r="Z60" s="13"/>
      <c r="AA60" s="13"/>
      <c r="AB60" s="13"/>
      <c r="AC60" s="13">
        <f>IF(AC55&lt;&gt;0,(AC56-AC54-AC53-AC59)/AC55,0)</f>
        <v>1.0845630508658195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0.80048066108548843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19" t="s">
        <v>463</v>
      </c>
      <c r="L62" s="19" t="s">
        <v>464</v>
      </c>
      <c r="M62" s="19" t="s">
        <v>465</v>
      </c>
      <c r="N62" s="19" t="s">
        <v>466</v>
      </c>
      <c r="O62" s="19" t="s">
        <v>467</v>
      </c>
      <c r="P62" s="19" t="s">
        <v>468</v>
      </c>
    </row>
    <row r="63" spans="1:42" ht="11.25" customHeight="1" x14ac:dyDescent="0.25">
      <c r="K63" s="18" t="s">
        <v>35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2978592.1096621612</v>
      </c>
      <c r="M63" s="18">
        <f>+'TUSD BE'!$I$7+'TUSD BE'!$I$8+'TUSD BE'!$I$11+'TUSD BE'!$I$12+'TUSD BE'!$I$13+'TUSD BE'!$I$14</f>
        <v>7814.8559999999989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25">
      <c r="K64" s="18" t="s">
        <v>80</v>
      </c>
      <c r="L64" s="18">
        <f ca="1">+$L$65+$L$66+$L$67+$L$68+$L$69</f>
        <v>13117092.548295507</v>
      </c>
      <c r="M64" s="18">
        <f>+$M$65+$M$66+$M$67+$M$68+$M$69</f>
        <v>20740.138999999996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25">
      <c r="K65" s="18" t="s">
        <v>80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25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7093574.3759786803</v>
      </c>
      <c r="M66" s="18">
        <f>+'TUSD BE'!$I$17+'TUSD BE'!$I$18+'TUSD BE'!$I$19+'TUSD BE'!$I$20+'TUSD BE'!$I$21+'TUSD BE'!$I$22+'TUSD BE'!$I$23+'TUSD BE'!$I$24+'TUSD BE'!$I$25+'TUSD BE'!$I$26+'TUSD BE'!$I$27+'TUSD BE'!$I$28+'TUSD BE'!$I$29</f>
        <v>10789.382999999998</v>
      </c>
      <c r="N66" s="18"/>
      <c r="O66" s="18"/>
      <c r="P66" s="18"/>
    </row>
    <row r="67" spans="11:16" ht="11.25" customHeight="1" x14ac:dyDescent="0.25">
      <c r="K67" s="18" t="s">
        <v>40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2180441.8670217171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3283.42</v>
      </c>
      <c r="N67" s="18"/>
      <c r="O67" s="18"/>
      <c r="P67" s="18"/>
    </row>
    <row r="68" spans="11:16" ht="11.25" customHeight="1" x14ac:dyDescent="0.25">
      <c r="K68" s="18" t="s">
        <v>33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3128525.871388047</v>
      </c>
      <c r="M68" s="18">
        <f>+'TUSD BE'!$I$45+'TUSD BE'!$I$46+'TUSD BE'!$I$47+'TUSD BE'!$I$48+'TUSD BE'!$I$49</f>
        <v>4711.0929999999998</v>
      </c>
      <c r="N68" s="18"/>
      <c r="O68" s="18"/>
      <c r="P68" s="18"/>
    </row>
    <row r="69" spans="11:16" ht="11.25" customHeight="1" x14ac:dyDescent="0.25">
      <c r="K69" s="18" t="s">
        <v>43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714550.43390706321</v>
      </c>
      <c r="M69" s="18">
        <f>+'TUSD BE'!$I$50+'TUSD BE'!$I$51</f>
        <v>1956.2429999999999</v>
      </c>
      <c r="N69" s="18"/>
      <c r="O69" s="18"/>
      <c r="P69" s="18"/>
    </row>
    <row r="70" spans="11:16" ht="11.25" customHeight="1" x14ac:dyDescent="0.25">
      <c r="K70" s="18"/>
      <c r="L70" s="18">
        <f ca="1">SUM($L$63:$L$69,-$L$64)</f>
        <v>16095684.657957671</v>
      </c>
      <c r="M70" s="18">
        <f>SUM($M$63:$M$69,-$M$64)</f>
        <v>28554.995000000003</v>
      </c>
      <c r="N70" s="18"/>
      <c r="O70" s="18"/>
      <c r="P70" s="18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FE31-D672-422E-8563-96AF9F71E9D7}">
  <dimension ref="A1:AP58"/>
  <sheetViews>
    <sheetView showGridLines="0" topLeftCell="L28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89" t="s">
        <v>60</v>
      </c>
      <c r="B1" s="89" t="s">
        <v>61</v>
      </c>
      <c r="C1" s="89" t="s">
        <v>62</v>
      </c>
      <c r="D1" s="89" t="s">
        <v>63</v>
      </c>
      <c r="E1" s="89" t="s">
        <v>64</v>
      </c>
      <c r="F1" s="89" t="s">
        <v>15</v>
      </c>
      <c r="G1" s="89" t="s">
        <v>66</v>
      </c>
      <c r="H1" s="89" t="s">
        <v>67</v>
      </c>
      <c r="I1" s="89" t="s">
        <v>452</v>
      </c>
      <c r="J1" s="82"/>
      <c r="L1" s="90" t="s">
        <v>460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P1" s="90" t="s">
        <v>454</v>
      </c>
    </row>
    <row r="2" spans="1:42" ht="11.2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82"/>
      <c r="L2" s="90" t="s">
        <v>351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P2" s="91"/>
    </row>
    <row r="3" spans="1:42" ht="11.25" customHeight="1" x14ac:dyDescent="0.25">
      <c r="A3" s="89"/>
      <c r="B3" s="89"/>
      <c r="C3" s="89"/>
      <c r="D3" s="89"/>
      <c r="E3" s="89"/>
      <c r="F3" s="89"/>
      <c r="G3" s="89"/>
      <c r="H3" s="89"/>
      <c r="I3" s="89"/>
      <c r="J3" s="82"/>
      <c r="L3" s="90" t="s">
        <v>352</v>
      </c>
      <c r="M3" s="90"/>
      <c r="N3" s="90"/>
      <c r="O3" s="90"/>
      <c r="P3" s="90"/>
      <c r="Q3" s="90"/>
      <c r="R3" s="90"/>
      <c r="S3" s="90"/>
      <c r="T3" s="90"/>
      <c r="U3" s="90" t="s">
        <v>361</v>
      </c>
      <c r="V3" s="90"/>
      <c r="W3" s="90"/>
      <c r="X3" s="90"/>
      <c r="Y3" s="90"/>
      <c r="Z3" s="90"/>
      <c r="AA3" s="90"/>
      <c r="AB3" s="90"/>
      <c r="AC3" s="90" t="s">
        <v>369</v>
      </c>
      <c r="AD3" s="90"/>
      <c r="AE3" s="90" t="s">
        <v>371</v>
      </c>
      <c r="AF3" s="90"/>
      <c r="AG3" s="90"/>
      <c r="AH3" s="90" t="s">
        <v>374</v>
      </c>
      <c r="AI3" s="90"/>
      <c r="AJ3" s="90"/>
      <c r="AK3" s="90"/>
      <c r="AL3" s="90"/>
      <c r="AM3" s="90" t="s">
        <v>360</v>
      </c>
      <c r="AP3" s="91"/>
    </row>
    <row r="4" spans="1:42" ht="11.25" customHeight="1" x14ac:dyDescent="0.25">
      <c r="A4" s="89"/>
      <c r="B4" s="89"/>
      <c r="C4" s="89"/>
      <c r="D4" s="89"/>
      <c r="E4" s="89"/>
      <c r="F4" s="89"/>
      <c r="G4" s="89"/>
      <c r="H4" s="89"/>
      <c r="I4" s="89"/>
      <c r="J4" s="82"/>
      <c r="L4" s="10" t="s">
        <v>437</v>
      </c>
      <c r="M4" s="10" t="s">
        <v>353</v>
      </c>
      <c r="N4" s="10" t="s">
        <v>354</v>
      </c>
      <c r="O4" s="10" t="s">
        <v>355</v>
      </c>
      <c r="P4" s="10" t="s">
        <v>356</v>
      </c>
      <c r="Q4" s="10" t="s">
        <v>357</v>
      </c>
      <c r="R4" s="10" t="s">
        <v>358</v>
      </c>
      <c r="S4" s="10" t="s">
        <v>359</v>
      </c>
      <c r="T4" s="10" t="s">
        <v>360</v>
      </c>
      <c r="U4" s="10" t="s">
        <v>362</v>
      </c>
      <c r="V4" s="10" t="s">
        <v>363</v>
      </c>
      <c r="W4" s="10" t="s">
        <v>364</v>
      </c>
      <c r="X4" s="10" t="s">
        <v>365</v>
      </c>
      <c r="Y4" s="10" t="s">
        <v>366</v>
      </c>
      <c r="Z4" s="10" t="s">
        <v>367</v>
      </c>
      <c r="AA4" s="10" t="s">
        <v>368</v>
      </c>
      <c r="AB4" s="10" t="s">
        <v>360</v>
      </c>
      <c r="AC4" s="10" t="s">
        <v>370</v>
      </c>
      <c r="AD4" s="10" t="s">
        <v>360</v>
      </c>
      <c r="AE4" s="10" t="s">
        <v>372</v>
      </c>
      <c r="AF4" s="10" t="s">
        <v>373</v>
      </c>
      <c r="AG4" s="10" t="s">
        <v>360</v>
      </c>
      <c r="AH4" s="10" t="s">
        <v>375</v>
      </c>
      <c r="AI4" s="10" t="s">
        <v>376</v>
      </c>
      <c r="AJ4" s="10" t="s">
        <v>377</v>
      </c>
      <c r="AK4" s="10" t="s">
        <v>378</v>
      </c>
      <c r="AL4" s="10" t="s">
        <v>360</v>
      </c>
      <c r="AM4" s="92"/>
      <c r="AP4" s="91"/>
    </row>
    <row r="5" spans="1:42" ht="11.25" customHeight="1" x14ac:dyDescent="0.25">
      <c r="A5" s="93" t="s">
        <v>35</v>
      </c>
      <c r="B5" s="93" t="s">
        <v>73</v>
      </c>
      <c r="C5" s="93" t="s">
        <v>25</v>
      </c>
      <c r="D5" s="93" t="s">
        <v>25</v>
      </c>
      <c r="E5" s="93" t="s">
        <v>25</v>
      </c>
      <c r="F5" s="93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35.769721197183863</v>
      </c>
      <c r="Z5" s="13">
        <f>'TR TUSD'!$Z$5</f>
        <v>0</v>
      </c>
      <c r="AA5" s="13">
        <f>'TR TUSD'!$AA$5</f>
        <v>0</v>
      </c>
      <c r="AB5" s="13">
        <f>SUM($U$5:$AA$5)</f>
        <v>35.769721197183863</v>
      </c>
      <c r="AC5" s="13">
        <f>'TR TUSD'!$AC$5*'TR TUSD'!$AC$60</f>
        <v>102.15401765430576</v>
      </c>
      <c r="AD5" s="13">
        <f>SUM($AC$5:$AC$5)</f>
        <v>102.15401765430576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137.92373885148962</v>
      </c>
      <c r="AP5" s="13">
        <v>1</v>
      </c>
    </row>
    <row r="6" spans="1:42" ht="11.25" customHeight="1" x14ac:dyDescent="0.25">
      <c r="A6" s="93"/>
      <c r="B6" s="93"/>
      <c r="C6" s="93"/>
      <c r="D6" s="93"/>
      <c r="E6" s="93"/>
      <c r="F6" s="93"/>
      <c r="G6" s="18" t="s">
        <v>76</v>
      </c>
      <c r="H6" s="18" t="s">
        <v>74</v>
      </c>
      <c r="I6" s="18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14.457606802091385</v>
      </c>
      <c r="Z6" s="13">
        <f>'TR TUSD'!$Z$6</f>
        <v>0</v>
      </c>
      <c r="AA6" s="13">
        <f>'TR TUSD'!$AA$6</f>
        <v>0</v>
      </c>
      <c r="AB6" s="13">
        <f>SUM($U$6:$AA$6)</f>
        <v>14.457606802091385</v>
      </c>
      <c r="AC6" s="13">
        <f>'TR TUSD'!$AC$6*'TR TUSD'!$AC$60</f>
        <v>28.545265673568025</v>
      </c>
      <c r="AD6" s="13">
        <f>SUM($AC$6:$AC$6)</f>
        <v>28.545265673568025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43.002872475659409</v>
      </c>
      <c r="AP6" s="13">
        <v>1</v>
      </c>
    </row>
    <row r="7" spans="1:42" ht="11.25" customHeight="1" x14ac:dyDescent="0.25">
      <c r="A7" s="93"/>
      <c r="B7" s="93"/>
      <c r="C7" s="93"/>
      <c r="D7" s="93"/>
      <c r="E7" s="93"/>
      <c r="F7" s="93"/>
      <c r="G7" s="18" t="s">
        <v>77</v>
      </c>
      <c r="H7" s="18" t="s">
        <v>70</v>
      </c>
      <c r="I7" s="18">
        <f>'MERCADO TUSD'!$U$4</f>
        <v>0</v>
      </c>
      <c r="J7" s="15"/>
      <c r="L7" s="13">
        <f>'TR TUSD'!$L$7*'TR TUSD'!$L$60</f>
        <v>0</v>
      </c>
      <c r="M7" s="13">
        <f>'TR TUSD'!$M$7*'TR TUSD'!$M$60</f>
        <v>0.85834454574409602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77.620468139217309</v>
      </c>
      <c r="R7" s="13">
        <f>'TR TUSD'!$R$7*'TR TUSD'!$R$60</f>
        <v>14.590530367741716</v>
      </c>
      <c r="S7" s="13">
        <f>'TR TUSD'!$S$7*'TR TUSD'!$S$60</f>
        <v>0</v>
      </c>
      <c r="T7" s="13">
        <f ca="1">SUM($L$7:$S$7)</f>
        <v>93.069343052703132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5.1843130015201657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5.1843130015201657</v>
      </c>
      <c r="AM7" s="13">
        <f ca="1">SUMIF($L$4:$AL$4,"SUBTOTAL",$L$7:$AL$7)</f>
        <v>98.253656054223299</v>
      </c>
      <c r="AP7" s="13">
        <v>1</v>
      </c>
    </row>
    <row r="8" spans="1:42" ht="11.25" customHeight="1" x14ac:dyDescent="0.25">
      <c r="A8" s="93"/>
      <c r="B8" s="93"/>
      <c r="C8" s="93"/>
      <c r="D8" s="93"/>
      <c r="E8" s="17" t="s">
        <v>78</v>
      </c>
      <c r="F8" s="17" t="s">
        <v>25</v>
      </c>
      <c r="G8" s="18" t="s">
        <v>77</v>
      </c>
      <c r="H8" s="18" t="s">
        <v>70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0.85834454574409602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0.85834454574409602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5.1843130015201657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5.1843130015201657</v>
      </c>
      <c r="AM8" s="13">
        <f ca="1">SUMIF($L$4:$AL$4,"SUBTOTAL",$L$8:$AL$8)</f>
        <v>6.0426575472642616</v>
      </c>
      <c r="AP8" s="13">
        <v>1</v>
      </c>
    </row>
    <row r="9" spans="1:42" ht="11.25" customHeight="1" x14ac:dyDescent="0.25">
      <c r="A9" s="93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12.35393416055806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12.35393416055806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1.1821737254437432E-2</v>
      </c>
      <c r="AD9" s="13">
        <f>SUM($AC$9:$AC$9)</f>
        <v>1.1821737254437432E-2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12.365755897812498</v>
      </c>
      <c r="AP9" s="13"/>
    </row>
    <row r="10" spans="1:42" ht="11.25" customHeight="1" x14ac:dyDescent="0.25">
      <c r="A10" s="93"/>
      <c r="B10" s="93" t="s">
        <v>36</v>
      </c>
      <c r="C10" s="93" t="s">
        <v>25</v>
      </c>
      <c r="D10" s="93" t="s">
        <v>25</v>
      </c>
      <c r="E10" s="93" t="s">
        <v>25</v>
      </c>
      <c r="F10" s="93" t="s">
        <v>25</v>
      </c>
      <c r="G10" s="18" t="s">
        <v>9</v>
      </c>
      <c r="H10" s="18" t="s">
        <v>74</v>
      </c>
      <c r="I10" s="18">
        <f>'MERCADO TUSD'!$U$7</f>
        <v>33489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14.457606802091385</v>
      </c>
      <c r="Z10" s="13">
        <f>'TR TUSD'!$Z$10</f>
        <v>0</v>
      </c>
      <c r="AA10" s="13">
        <f>'TR TUSD'!$AA$10</f>
        <v>0</v>
      </c>
      <c r="AB10" s="13">
        <f>SUM($U$10:$AA$10)</f>
        <v>14.457606802091385</v>
      </c>
      <c r="AC10" s="13">
        <f>'TR TUSD'!$AC$10*'TR TUSD'!$AC$60</f>
        <v>28.545265673568025</v>
      </c>
      <c r="AD10" s="13">
        <f>SUM($AC$10:$AC$10)</f>
        <v>28.545265673568025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43.002872475659409</v>
      </c>
      <c r="AP10" s="13">
        <v>1</v>
      </c>
    </row>
    <row r="11" spans="1:42" ht="11.25" customHeight="1" x14ac:dyDescent="0.25">
      <c r="A11" s="93"/>
      <c r="B11" s="93"/>
      <c r="C11" s="93"/>
      <c r="D11" s="93"/>
      <c r="E11" s="93"/>
      <c r="F11" s="93"/>
      <c r="G11" s="18" t="s">
        <v>71</v>
      </c>
      <c r="H11" s="18" t="s">
        <v>70</v>
      </c>
      <c r="I11" s="18">
        <f>'MERCADO TUSD'!$U$8</f>
        <v>232.29900000000001</v>
      </c>
      <c r="J11" s="15"/>
      <c r="L11" s="13">
        <f>'TR TUSD'!$L$11*'TR TUSD'!$L$60</f>
        <v>0</v>
      </c>
      <c r="M11" s="13">
        <f>'TR TUSD'!$M$11*'TR TUSD'!$M$60</f>
        <v>0.85834454574409602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77.620468139217309</v>
      </c>
      <c r="R11" s="13">
        <f>'TR TUSD'!$R$11*'TR TUSD'!$R$60</f>
        <v>14.590530367741716</v>
      </c>
      <c r="S11" s="13">
        <f>'TR TUSD'!$S$11*'TR TUSD'!$S$60</f>
        <v>0</v>
      </c>
      <c r="T11" s="13">
        <f ca="1">SUM($L$11:$S$11)</f>
        <v>93.069343052703132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860.60448783069421</v>
      </c>
      <c r="Z11" s="13">
        <f>'TR TUSD'!$Z$11</f>
        <v>0</v>
      </c>
      <c r="AA11" s="13">
        <f>'TR TUSD'!$AA$11</f>
        <v>0</v>
      </c>
      <c r="AB11" s="13">
        <f>SUM($U$11:$AA$11)</f>
        <v>860.60448783069421</v>
      </c>
      <c r="AC11" s="13">
        <f>'TR TUSD'!$AC$11*'TR TUSD'!$AC$60</f>
        <v>2456.8042818476961</v>
      </c>
      <c r="AD11" s="13">
        <f>SUM($AC$11:$AC$11)</f>
        <v>2456.8042818476961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5.1843130015201657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5.1843130015201657</v>
      </c>
      <c r="AM11" s="13">
        <f ca="1">SUMIF($L$4:$AL$4,"SUBTOTAL",$L$11:$AL$11)</f>
        <v>3415.6624257326134</v>
      </c>
      <c r="AP11" s="13">
        <v>1</v>
      </c>
    </row>
    <row r="12" spans="1:42" ht="11.25" customHeight="1" x14ac:dyDescent="0.25">
      <c r="A12" s="93"/>
      <c r="B12" s="93"/>
      <c r="C12" s="93"/>
      <c r="D12" s="93"/>
      <c r="E12" s="93"/>
      <c r="F12" s="93"/>
      <c r="G12" s="18" t="s">
        <v>72</v>
      </c>
      <c r="H12" s="18" t="s">
        <v>70</v>
      </c>
      <c r="I12" s="18">
        <f>'MERCADO TUSD'!$U$9</f>
        <v>7582.5569999999989</v>
      </c>
      <c r="J12" s="15"/>
      <c r="L12" s="13">
        <f>'TR TUSD'!$L$12*'TR TUSD'!$L$60</f>
        <v>0</v>
      </c>
      <c r="M12" s="13">
        <f>'TR TUSD'!$M$12*'TR TUSD'!$M$60</f>
        <v>0.85834454574409602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77.620468139217309</v>
      </c>
      <c r="R12" s="13">
        <f>'TR TUSD'!$R$12*'TR TUSD'!$R$60</f>
        <v>14.590530367741716</v>
      </c>
      <c r="S12" s="13">
        <f>'TR TUSD'!$S$12*'TR TUSD'!$S$60</f>
        <v>0</v>
      </c>
      <c r="T12" s="13">
        <f ca="1">SUM($L$12:$S$12)</f>
        <v>93.069343052703132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5.1843130015201657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5.1843130015201657</v>
      </c>
      <c r="AM12" s="13">
        <f ca="1">SUMIF($L$4:$AL$4,"SUBTOTAL",$L$12:$AL$12)</f>
        <v>98.253656054223299</v>
      </c>
      <c r="AP12" s="13">
        <v>1</v>
      </c>
    </row>
    <row r="13" spans="1:42" ht="11.25" customHeight="1" x14ac:dyDescent="0.25">
      <c r="A13" s="93"/>
      <c r="B13" s="93"/>
      <c r="C13" s="93"/>
      <c r="D13" s="93"/>
      <c r="E13" s="93" t="s">
        <v>78</v>
      </c>
      <c r="F13" s="93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0.85834454574409602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0.85834454574409602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860.60448783069421</v>
      </c>
      <c r="Z13" s="13">
        <f>'TR TUSD'!$Z$13</f>
        <v>0</v>
      </c>
      <c r="AA13" s="13">
        <f>'TR TUSD'!$AA$13</f>
        <v>0</v>
      </c>
      <c r="AB13" s="13">
        <f>SUM($U$13:$AA$13)</f>
        <v>860.60448783069421</v>
      </c>
      <c r="AC13" s="13">
        <f>'TR TUSD'!$AC$13*'TR TUSD'!$AC$60</f>
        <v>2456.8042818476961</v>
      </c>
      <c r="AD13" s="13">
        <f>SUM($AC$13:$AC$13)</f>
        <v>2456.8042818476961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5.1843130015201657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5.1843130015201657</v>
      </c>
      <c r="AM13" s="13">
        <f ca="1">SUMIF($L$4:$AL$4,"SUBTOTAL",$L$13:$AL$13)</f>
        <v>3323.4514272256542</v>
      </c>
      <c r="AP13" s="13">
        <v>1</v>
      </c>
    </row>
    <row r="14" spans="1:42" ht="11.25" customHeight="1" x14ac:dyDescent="0.25">
      <c r="A14" s="93"/>
      <c r="B14" s="93"/>
      <c r="C14" s="93"/>
      <c r="D14" s="93"/>
      <c r="E14" s="93"/>
      <c r="F14" s="93"/>
      <c r="G14" s="18" t="s">
        <v>72</v>
      </c>
      <c r="H14" s="18" t="s">
        <v>70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0.85834454574409602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0.85834454574409602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5.1843130015201657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5.1843130015201657</v>
      </c>
      <c r="AM14" s="13">
        <f ca="1">SUMIF($L$4:$AL$4,"SUBTOTAL",$L$14:$AL$14)</f>
        <v>6.0426575472642616</v>
      </c>
      <c r="AP14" s="13">
        <v>1</v>
      </c>
    </row>
    <row r="15" spans="1:42" ht="11.25" customHeight="1" x14ac:dyDescent="0.25">
      <c r="A15" s="93" t="s">
        <v>80</v>
      </c>
      <c r="B15" s="93" t="s">
        <v>79</v>
      </c>
      <c r="C15" s="93" t="s">
        <v>25</v>
      </c>
      <c r="D15" s="93" t="s">
        <v>25</v>
      </c>
      <c r="E15" s="17" t="s">
        <v>81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1.162039662368777E-2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1.162039662368777E-2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13.320603390733995</v>
      </c>
      <c r="AD15" s="13">
        <f>SUM($AC$15:$AC$15)</f>
        <v>13.320603390733995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13.332223787357682</v>
      </c>
      <c r="AP15" s="13"/>
    </row>
    <row r="16" spans="1:42" ht="11.25" customHeight="1" x14ac:dyDescent="0.25">
      <c r="A16" s="93"/>
      <c r="B16" s="93"/>
      <c r="C16" s="93"/>
      <c r="D16" s="93"/>
      <c r="E16" s="17" t="s">
        <v>82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1.162039662368777E-2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1.162039662368777E-2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27.101278427645269</v>
      </c>
      <c r="AD16" s="13">
        <f>SUM($AC$16:$AC$16)</f>
        <v>27.101278427645269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27.112898824268957</v>
      </c>
      <c r="AP16" s="13"/>
    </row>
    <row r="17" spans="1:42" ht="11.25" customHeight="1" x14ac:dyDescent="0.25">
      <c r="A17" s="93" t="s">
        <v>22</v>
      </c>
      <c r="B17" s="93" t="s">
        <v>85</v>
      </c>
      <c r="C17" s="93" t="s">
        <v>24</v>
      </c>
      <c r="D17" s="93" t="s">
        <v>24</v>
      </c>
      <c r="E17" s="93" t="s">
        <v>25</v>
      </c>
      <c r="F17" s="93" t="s">
        <v>25</v>
      </c>
      <c r="G17" s="18" t="s">
        <v>71</v>
      </c>
      <c r="H17" s="18" t="s">
        <v>70</v>
      </c>
      <c r="I17" s="18">
        <f>'MERCADO TUSD'!$U$14</f>
        <v>0</v>
      </c>
      <c r="J17" s="15"/>
      <c r="L17" s="13">
        <f>'TR TUSD'!$L$17*'TR TUSD'!$L$60</f>
        <v>0</v>
      </c>
      <c r="M17" s="13">
        <f>'TR TUSD'!$M$17*'TR TUSD'!$M$60</f>
        <v>1.8679945330450001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92.405319213353948</v>
      </c>
      <c r="R17" s="13">
        <f>'TR TUSD'!$R$17*'TR TUSD'!$R$60</f>
        <v>14.590530367741716</v>
      </c>
      <c r="S17" s="13">
        <f>'TR TUSD'!$S$17*'TR TUSD'!$S$60</f>
        <v>0</v>
      </c>
      <c r="T17" s="13">
        <f ca="1">SUM($L$17:$S$17)</f>
        <v>108.86384411414068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315.07298318165368</v>
      </c>
      <c r="Z17" s="13">
        <f>'TR TUSD'!$Z$17</f>
        <v>0</v>
      </c>
      <c r="AA17" s="13">
        <f>'TR TUSD'!$AA$17</f>
        <v>0</v>
      </c>
      <c r="AB17" s="13">
        <f>SUM($U$17:$AA$17)</f>
        <v>315.07298318165368</v>
      </c>
      <c r="AC17" s="13">
        <f>'TR TUSD'!$AC$17*'TR TUSD'!$AC$60</f>
        <v>1147.8904704932645</v>
      </c>
      <c r="AD17" s="13">
        <f>SUM($AC$17:$AC$17)</f>
        <v>1147.8904704932645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13.4274227051802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13.4274227051802</v>
      </c>
      <c r="AM17" s="13">
        <f ca="1">SUMIF($L$4:$AL$4,"SUBTOTAL",$L$17:$AL$17)</f>
        <v>1585.2547204942389</v>
      </c>
      <c r="AP17" s="13">
        <v>1</v>
      </c>
    </row>
    <row r="18" spans="1:42" ht="11.25" customHeight="1" x14ac:dyDescent="0.25">
      <c r="A18" s="93"/>
      <c r="B18" s="93"/>
      <c r="C18" s="93"/>
      <c r="D18" s="93"/>
      <c r="E18" s="93"/>
      <c r="F18" s="93"/>
      <c r="G18" s="18" t="s">
        <v>83</v>
      </c>
      <c r="H18" s="18" t="s">
        <v>70</v>
      </c>
      <c r="I18" s="18">
        <f>'MERCADO TUSD'!$U$15</f>
        <v>0</v>
      </c>
      <c r="J18" s="15"/>
      <c r="L18" s="13">
        <f>'TR TUSD'!$L$18*'TR TUSD'!$L$60</f>
        <v>0</v>
      </c>
      <c r="M18" s="13">
        <f>'TR TUSD'!$M$18*'TR TUSD'!$M$60</f>
        <v>1.8679945330450001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92.405319213353948</v>
      </c>
      <c r="R18" s="13">
        <f>'TR TUSD'!$R$18*'TR TUSD'!$R$60</f>
        <v>14.590530367741716</v>
      </c>
      <c r="S18" s="13">
        <f>'TR TUSD'!$S$18*'TR TUSD'!$S$60</f>
        <v>0</v>
      </c>
      <c r="T18" s="13">
        <f ca="1">SUM($L$18:$S$18)</f>
        <v>108.86384411414068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189.04385459144751</v>
      </c>
      <c r="Z18" s="13">
        <f>'TR TUSD'!$Z$18</f>
        <v>0</v>
      </c>
      <c r="AA18" s="13">
        <f>'TR TUSD'!$AA$18</f>
        <v>0</v>
      </c>
      <c r="AB18" s="13">
        <f>SUM($U$18:$AA$18)</f>
        <v>189.04385459144751</v>
      </c>
      <c r="AC18" s="13">
        <f>'TR TUSD'!$AC$18*'TR TUSD'!$AC$60</f>
        <v>688.73462935613509</v>
      </c>
      <c r="AD18" s="13">
        <f>SUM($AC$18:$AC$18)</f>
        <v>688.73462935613509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13.4274227051802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13.4274227051802</v>
      </c>
      <c r="AM18" s="13">
        <f ca="1">SUMIF($L$4:$AL$4,"SUBTOTAL",$L$18:$AL$18)</f>
        <v>1000.0697507669034</v>
      </c>
      <c r="AP18" s="13">
        <v>1</v>
      </c>
    </row>
    <row r="19" spans="1:42" ht="11.25" customHeight="1" x14ac:dyDescent="0.25">
      <c r="A19" s="93"/>
      <c r="B19" s="93"/>
      <c r="C19" s="93"/>
      <c r="D19" s="93"/>
      <c r="E19" s="93"/>
      <c r="F19" s="93"/>
      <c r="G19" s="18" t="s">
        <v>72</v>
      </c>
      <c r="H19" s="18" t="s">
        <v>70</v>
      </c>
      <c r="I19" s="18">
        <f>'MERCADO TUSD'!$U$16</f>
        <v>0</v>
      </c>
      <c r="J19" s="15"/>
      <c r="L19" s="13">
        <f>'TR TUSD'!$L$19*'TR TUSD'!$L$60</f>
        <v>0</v>
      </c>
      <c r="M19" s="13">
        <f>'TR TUSD'!$M$19*'TR TUSD'!$M$60</f>
        <v>1.8679945330450001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92.405319213353948</v>
      </c>
      <c r="R19" s="13">
        <f>'TR TUSD'!$R$19*'TR TUSD'!$R$60</f>
        <v>14.590530367741716</v>
      </c>
      <c r="S19" s="13">
        <f>'TR TUSD'!$S$19*'TR TUSD'!$S$60</f>
        <v>0</v>
      </c>
      <c r="T19" s="13">
        <f ca="1">SUM($L$19:$S$19)</f>
        <v>108.86384411414068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63.072185582372626</v>
      </c>
      <c r="Z19" s="13">
        <f>'TR TUSD'!$Z$19</f>
        <v>0</v>
      </c>
      <c r="AA19" s="13">
        <f>'TR TUSD'!$AA$19</f>
        <v>0</v>
      </c>
      <c r="AB19" s="13">
        <f>SUM($U$19:$AA$19)</f>
        <v>63.072185582372626</v>
      </c>
      <c r="AC19" s="13">
        <f>'TR TUSD'!$AC$19*'TR TUSD'!$AC$60</f>
        <v>229.57792056856476</v>
      </c>
      <c r="AD19" s="13">
        <f>SUM($AC$19:$AC$19)</f>
        <v>229.57792056856476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13.4274227051802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13.4274227051802</v>
      </c>
      <c r="AM19" s="13">
        <f ca="1">SUMIF($L$4:$AL$4,"SUBTOTAL",$L$19:$AL$19)</f>
        <v>414.94137297025827</v>
      </c>
      <c r="AP19" s="13">
        <v>1</v>
      </c>
    </row>
    <row r="20" spans="1:42" ht="11.25" customHeight="1" x14ac:dyDescent="0.25">
      <c r="A20" s="93"/>
      <c r="B20" s="93" t="s">
        <v>23</v>
      </c>
      <c r="C20" s="93" t="s">
        <v>24</v>
      </c>
      <c r="D20" s="17" t="s">
        <v>24</v>
      </c>
      <c r="E20" s="17" t="s">
        <v>25</v>
      </c>
      <c r="F20" s="17" t="s">
        <v>25</v>
      </c>
      <c r="G20" s="18" t="s">
        <v>77</v>
      </c>
      <c r="H20" s="18" t="s">
        <v>70</v>
      </c>
      <c r="I20" s="18">
        <f>'MERCADO TUSD'!$U$17</f>
        <v>10122.061</v>
      </c>
      <c r="J20" s="15"/>
      <c r="L20" s="13">
        <f>'TR TUSD'!$L$20*'TR TUSD'!$L$60</f>
        <v>0</v>
      </c>
      <c r="M20" s="13">
        <f>'TR TUSD'!$M$20*'TR TUSD'!$M$60</f>
        <v>1.8679945330450001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92.405319213353948</v>
      </c>
      <c r="R20" s="13">
        <f>'TR TUSD'!$R$20*'TR TUSD'!$R$60</f>
        <v>14.590530367741716</v>
      </c>
      <c r="S20" s="13">
        <f>'TR TUSD'!$S$20*'TR TUSD'!$S$60</f>
        <v>0</v>
      </c>
      <c r="T20" s="13">
        <f ca="1">SUM($L$20:$S$20)</f>
        <v>108.86384411414068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116.64036239826716</v>
      </c>
      <c r="Z20" s="13">
        <f>'TR TUSD'!$Z$20</f>
        <v>0</v>
      </c>
      <c r="AA20" s="13">
        <f>'TR TUSD'!$AA$20</f>
        <v>0</v>
      </c>
      <c r="AB20" s="13">
        <f>SUM($U$20:$AA$20)</f>
        <v>116.64036239826716</v>
      </c>
      <c r="AC20" s="13">
        <f>'TR TUSD'!$AC$20*'TR TUSD'!$AC$60</f>
        <v>425.14481151241813</v>
      </c>
      <c r="AD20" s="13">
        <f>SUM($AC$20:$AC$20)</f>
        <v>425.14481151241813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13.4274227051802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13.4274227051802</v>
      </c>
      <c r="AM20" s="13">
        <f ca="1">SUMIF($L$4:$AL$4,"SUBTOTAL",$L$20:$AL$20)</f>
        <v>664.0764407300062</v>
      </c>
      <c r="AP20" s="13">
        <v>1</v>
      </c>
    </row>
    <row r="21" spans="1:42" ht="11.25" customHeight="1" x14ac:dyDescent="0.25">
      <c r="A21" s="93"/>
      <c r="B21" s="93"/>
      <c r="C21" s="93"/>
      <c r="D21" s="17" t="s">
        <v>29</v>
      </c>
      <c r="E21" s="17" t="s">
        <v>25</v>
      </c>
      <c r="F21" s="17" t="s">
        <v>25</v>
      </c>
      <c r="G21" s="18" t="s">
        <v>77</v>
      </c>
      <c r="H21" s="18" t="s">
        <v>70</v>
      </c>
      <c r="I21" s="18">
        <f>'MERCADO TUSD'!$U$18</f>
        <v>111.12200000000001</v>
      </c>
      <c r="J21" s="15"/>
      <c r="L21" s="13">
        <f>'TR TUSD'!$L$21*'TR TUSD'!$L$60</f>
        <v>0</v>
      </c>
      <c r="M21" s="13">
        <f>'TR TUSD'!$M$21*'TR TUSD'!$M$60</f>
        <v>1.8679945330450001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1.8679945330450001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116.64036239826716</v>
      </c>
      <c r="Z21" s="13">
        <f>'TR TUSD'!$Z$21</f>
        <v>0</v>
      </c>
      <c r="AA21" s="13">
        <f>'TR TUSD'!$AA$21</f>
        <v>0</v>
      </c>
      <c r="AB21" s="13">
        <f>SUM($U$21:$AA$21)</f>
        <v>116.64036239826716</v>
      </c>
      <c r="AC21" s="13">
        <f>'TR TUSD'!$AC$21*'TR TUSD'!$AC$60</f>
        <v>425.14481151241813</v>
      </c>
      <c r="AD21" s="13">
        <f>SUM($AC$21:$AC$21)</f>
        <v>425.14481151241813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13.4274227051802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13.4274227051802</v>
      </c>
      <c r="AM21" s="13">
        <f ca="1">SUMIF($L$4:$AL$4,"SUBTOTAL",$L$21:$AL$21)</f>
        <v>557.08059114891046</v>
      </c>
      <c r="AP21" s="13">
        <f>IF((1 - CUSTOS!$M$24)&lt;&gt;0,1/(1 - CUSTOS!$M$24),1)</f>
        <v>1</v>
      </c>
    </row>
    <row r="22" spans="1:42" ht="11.25" customHeight="1" x14ac:dyDescent="0.25">
      <c r="A22" s="93"/>
      <c r="B22" s="93"/>
      <c r="C22" s="93"/>
      <c r="D22" s="17" t="s">
        <v>30</v>
      </c>
      <c r="E22" s="17" t="s">
        <v>25</v>
      </c>
      <c r="F22" s="17" t="s">
        <v>25</v>
      </c>
      <c r="G22" s="18" t="s">
        <v>77</v>
      </c>
      <c r="H22" s="18" t="s">
        <v>70</v>
      </c>
      <c r="I22" s="18">
        <f>'MERCADO TUSD'!$U$19</f>
        <v>223.66</v>
      </c>
      <c r="J22" s="15"/>
      <c r="L22" s="13">
        <f>'TR TUSD'!$L$22*'TR TUSD'!$L$60</f>
        <v>0</v>
      </c>
      <c r="M22" s="13">
        <f>'TR TUSD'!$M$22*'TR TUSD'!$M$60</f>
        <v>1.8679945330450001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1.8679945330450001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116.64036239826716</v>
      </c>
      <c r="Z22" s="13">
        <f>'TR TUSD'!$Z$22</f>
        <v>0</v>
      </c>
      <c r="AA22" s="13">
        <f>'TR TUSD'!$AA$22</f>
        <v>0</v>
      </c>
      <c r="AB22" s="13">
        <f>SUM($U$22:$AA$22)</f>
        <v>116.64036239826716</v>
      </c>
      <c r="AC22" s="13">
        <f>'TR TUSD'!$AC$22*'TR TUSD'!$AC$60</f>
        <v>425.14481151241813</v>
      </c>
      <c r="AD22" s="13">
        <f>SUM($AC$22:$AC$22)</f>
        <v>425.14481151241813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13.4274227051802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13.4274227051802</v>
      </c>
      <c r="AM22" s="13">
        <f ca="1">SUMIF($L$4:$AL$4,"SUBTOTAL",$L$22:$AL$22)</f>
        <v>557.08059114891046</v>
      </c>
      <c r="AP22" s="13">
        <f>IF((1 - CUSTOS!$M$25)&lt;&gt;0,1/(1 - CUSTOS!$M$25),1)</f>
        <v>1</v>
      </c>
    </row>
    <row r="23" spans="1:42" ht="11.25" customHeight="1" x14ac:dyDescent="0.25">
      <c r="A23" s="93"/>
      <c r="B23" s="93"/>
      <c r="C23" s="93"/>
      <c r="D23" s="17" t="s">
        <v>31</v>
      </c>
      <c r="E23" s="17" t="s">
        <v>25</v>
      </c>
      <c r="F23" s="17" t="s">
        <v>25</v>
      </c>
      <c r="G23" s="18" t="s">
        <v>77</v>
      </c>
      <c r="H23" s="18" t="s">
        <v>70</v>
      </c>
      <c r="I23" s="18">
        <f>'MERCADO TUSD'!$U$20</f>
        <v>229.345</v>
      </c>
      <c r="J23" s="15"/>
      <c r="L23" s="13">
        <f>'TR TUSD'!$L$23*'TR TUSD'!$L$60</f>
        <v>0</v>
      </c>
      <c r="M23" s="13">
        <f>'TR TUSD'!$M$23*'TR TUSD'!$M$60</f>
        <v>1.8679945330450001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1.8679945330450001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116.64036239826716</v>
      </c>
      <c r="Z23" s="13">
        <f>'TR TUSD'!$Z$23</f>
        <v>0</v>
      </c>
      <c r="AA23" s="13">
        <f>'TR TUSD'!$AA$23</f>
        <v>0</v>
      </c>
      <c r="AB23" s="13">
        <f>SUM($U$23:$AA$23)</f>
        <v>116.64036239826716</v>
      </c>
      <c r="AC23" s="13">
        <f>'TR TUSD'!$AC$23*'TR TUSD'!$AC$60</f>
        <v>425.14481151241813</v>
      </c>
      <c r="AD23" s="13">
        <f>SUM($AC$23:$AC$23)</f>
        <v>425.14481151241813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13.4274227051802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13.4274227051802</v>
      </c>
      <c r="AM23" s="13">
        <f ca="1">SUMIF($L$4:$AL$4,"SUBTOTAL",$L$23:$AL$23)</f>
        <v>557.08059114891046</v>
      </c>
      <c r="AP23" s="13">
        <f>IF((1 - CUSTOS!$M$26)&lt;&gt;0,1/(1 - CUSTOS!$M$26),1)</f>
        <v>1</v>
      </c>
    </row>
    <row r="24" spans="1:42" ht="11.25" customHeight="1" x14ac:dyDescent="0.25">
      <c r="A24" s="93"/>
      <c r="B24" s="93"/>
      <c r="C24" s="93"/>
      <c r="D24" s="17" t="s">
        <v>32</v>
      </c>
      <c r="E24" s="17" t="s">
        <v>25</v>
      </c>
      <c r="F24" s="17" t="s">
        <v>25</v>
      </c>
      <c r="G24" s="18" t="s">
        <v>77</v>
      </c>
      <c r="H24" s="18" t="s">
        <v>70</v>
      </c>
      <c r="I24" s="18">
        <f>'MERCADO TUSD'!$U$21</f>
        <v>103.19500000000001</v>
      </c>
      <c r="J24" s="15"/>
      <c r="L24" s="13">
        <f>'TR TUSD'!$L$24*'TR TUSD'!$L$60</f>
        <v>0</v>
      </c>
      <c r="M24" s="13">
        <f>'TR TUSD'!$M$24*'TR TUSD'!$M$60</f>
        <v>1.8679945330450001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1.8679945330450001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116.64036239826716</v>
      </c>
      <c r="Z24" s="13">
        <f>'TR TUSD'!$Z$24</f>
        <v>0</v>
      </c>
      <c r="AA24" s="13">
        <f>'TR TUSD'!$AA$24</f>
        <v>0</v>
      </c>
      <c r="AB24" s="13">
        <f>SUM($U$24:$AA$24)</f>
        <v>116.64036239826716</v>
      </c>
      <c r="AC24" s="13">
        <f>'TR TUSD'!$AC$24*'TR TUSD'!$AC$60</f>
        <v>425.14481151241813</v>
      </c>
      <c r="AD24" s="13">
        <f>SUM($AC$24:$AC$24)</f>
        <v>425.14481151241813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13.4274227051802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13.4274227051802</v>
      </c>
      <c r="AM24" s="13">
        <f ca="1">SUMIF($L$4:$AL$4,"SUBTOTAL",$L$24:$AL$24)</f>
        <v>557.08059114891046</v>
      </c>
      <c r="AP24" s="13">
        <f>IF((1 - CUSTOS!$M$27)&lt;&gt;0,1/(1 - CUSTOS!$M$27),1)</f>
        <v>1</v>
      </c>
    </row>
    <row r="25" spans="1:42" ht="11.25" customHeight="1" x14ac:dyDescent="0.25">
      <c r="A25" s="93"/>
      <c r="B25" s="93" t="s">
        <v>87</v>
      </c>
      <c r="C25" s="93" t="s">
        <v>24</v>
      </c>
      <c r="D25" s="17" t="s">
        <v>24</v>
      </c>
      <c r="E25" s="17" t="s">
        <v>25</v>
      </c>
      <c r="F25" s="17" t="s">
        <v>25</v>
      </c>
      <c r="G25" s="18" t="s">
        <v>77</v>
      </c>
      <c r="H25" s="18" t="s">
        <v>70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1.8679945330450001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92.405319213353948</v>
      </c>
      <c r="R25" s="13">
        <f>'TR TUSD'!$R$25*'TR TUSD'!$R$60</f>
        <v>14.590530367741716</v>
      </c>
      <c r="S25" s="13">
        <f>'TR TUSD'!$S$25*'TR TUSD'!$S$60</f>
        <v>0</v>
      </c>
      <c r="T25" s="13">
        <f ca="1">SUM($L$25:$S$25)</f>
        <v>108.86384411414068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116.64036239826716</v>
      </c>
      <c r="Z25" s="13">
        <f>'TR TUSD'!$Z$25</f>
        <v>0</v>
      </c>
      <c r="AA25" s="13">
        <f>'TR TUSD'!$AA$25</f>
        <v>0</v>
      </c>
      <c r="AB25" s="13">
        <f>SUM($U$25:$AA$25)</f>
        <v>116.64036239826716</v>
      </c>
      <c r="AC25" s="13">
        <f>'TR TUSD'!$AC$25*'TR TUSD'!$AC$60</f>
        <v>425.14481151241813</v>
      </c>
      <c r="AD25" s="13">
        <f>SUM($AC$25:$AC$25)</f>
        <v>425.14481151241813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13.4274227051802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13.4274227051802</v>
      </c>
      <c r="AM25" s="13">
        <f ca="1">SUMIF($L$4:$AL$4,"SUBTOTAL",$L$25:$AL$25)</f>
        <v>664.0764407300062</v>
      </c>
      <c r="AP25" s="13">
        <v>1</v>
      </c>
    </row>
    <row r="26" spans="1:42" ht="11.25" customHeight="1" x14ac:dyDescent="0.25">
      <c r="A26" s="93"/>
      <c r="B26" s="93"/>
      <c r="C26" s="93"/>
      <c r="D26" s="17" t="s">
        <v>29</v>
      </c>
      <c r="E26" s="17" t="s">
        <v>25</v>
      </c>
      <c r="F26" s="17" t="s">
        <v>25</v>
      </c>
      <c r="G26" s="18" t="s">
        <v>77</v>
      </c>
      <c r="H26" s="18" t="s">
        <v>70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1.8679945330450001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1.8679945330450001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116.64036239826716</v>
      </c>
      <c r="Z26" s="13">
        <f>'TR TUSD'!$Z$26</f>
        <v>0</v>
      </c>
      <c r="AA26" s="13">
        <f>'TR TUSD'!$AA$26</f>
        <v>0</v>
      </c>
      <c r="AB26" s="13">
        <f>SUM($U$26:$AA$26)</f>
        <v>116.64036239826716</v>
      </c>
      <c r="AC26" s="13">
        <f>'TR TUSD'!$AC$26*'TR TUSD'!$AC$60</f>
        <v>425.14481151241813</v>
      </c>
      <c r="AD26" s="13">
        <f>SUM($AC$26:$AC$26)</f>
        <v>425.14481151241813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13.4274227051802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13.4274227051802</v>
      </c>
      <c r="AM26" s="13">
        <f ca="1">SUMIF($L$4:$AL$4,"SUBTOTAL",$L$26:$AL$26)</f>
        <v>557.08059114891046</v>
      </c>
      <c r="AP26" s="13">
        <f>IF((1 - CUSTOS!$M$24)&lt;&gt;0,1/(1 - CUSTOS!$M$24),1)</f>
        <v>1</v>
      </c>
    </row>
    <row r="27" spans="1:42" ht="11.25" customHeight="1" x14ac:dyDescent="0.25">
      <c r="A27" s="93"/>
      <c r="B27" s="93"/>
      <c r="C27" s="93"/>
      <c r="D27" s="17" t="s">
        <v>30</v>
      </c>
      <c r="E27" s="17" t="s">
        <v>25</v>
      </c>
      <c r="F27" s="17" t="s">
        <v>25</v>
      </c>
      <c r="G27" s="18" t="s">
        <v>77</v>
      </c>
      <c r="H27" s="18" t="s">
        <v>70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1.8679945330450001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1.8679945330450001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116.64036239826716</v>
      </c>
      <c r="Z27" s="13">
        <f>'TR TUSD'!$Z$27</f>
        <v>0</v>
      </c>
      <c r="AA27" s="13">
        <f>'TR TUSD'!$AA$27</f>
        <v>0</v>
      </c>
      <c r="AB27" s="13">
        <f>SUM($U$27:$AA$27)</f>
        <v>116.64036239826716</v>
      </c>
      <c r="AC27" s="13">
        <f>'TR TUSD'!$AC$27*'TR TUSD'!$AC$60</f>
        <v>425.14481151241813</v>
      </c>
      <c r="AD27" s="13">
        <f>SUM($AC$27:$AC$27)</f>
        <v>425.14481151241813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13.4274227051802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13.4274227051802</v>
      </c>
      <c r="AM27" s="13">
        <f ca="1">SUMIF($L$4:$AL$4,"SUBTOTAL",$L$27:$AL$27)</f>
        <v>557.08059114891046</v>
      </c>
      <c r="AP27" s="13">
        <f>IF((1 - CUSTOS!$M$25)&lt;&gt;0,1/(1 - CUSTOS!$M$25),1)</f>
        <v>1</v>
      </c>
    </row>
    <row r="28" spans="1:42" ht="11.25" customHeight="1" x14ac:dyDescent="0.25">
      <c r="A28" s="93"/>
      <c r="B28" s="93"/>
      <c r="C28" s="93"/>
      <c r="D28" s="17" t="s">
        <v>31</v>
      </c>
      <c r="E28" s="17" t="s">
        <v>25</v>
      </c>
      <c r="F28" s="17" t="s">
        <v>25</v>
      </c>
      <c r="G28" s="18" t="s">
        <v>77</v>
      </c>
      <c r="H28" s="18" t="s">
        <v>70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1.8679945330450001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1.8679945330450001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116.64036239826716</v>
      </c>
      <c r="Z28" s="13">
        <f>'TR TUSD'!$Z$28</f>
        <v>0</v>
      </c>
      <c r="AA28" s="13">
        <f>'TR TUSD'!$AA$28</f>
        <v>0</v>
      </c>
      <c r="AB28" s="13">
        <f>SUM($U$28:$AA$28)</f>
        <v>116.64036239826716</v>
      </c>
      <c r="AC28" s="13">
        <f>'TR TUSD'!$AC$28*'TR TUSD'!$AC$60</f>
        <v>425.14481151241813</v>
      </c>
      <c r="AD28" s="13">
        <f>SUM($AC$28:$AC$28)</f>
        <v>425.14481151241813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13.4274227051802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13.4274227051802</v>
      </c>
      <c r="AM28" s="13">
        <f ca="1">SUMIF($L$4:$AL$4,"SUBTOTAL",$L$28:$AL$28)</f>
        <v>557.08059114891046</v>
      </c>
      <c r="AP28" s="13">
        <f>IF((1 - CUSTOS!$M$26)&lt;&gt;0,1/(1 - CUSTOS!$M$26),1)</f>
        <v>1</v>
      </c>
    </row>
    <row r="29" spans="1:42" ht="11.25" customHeight="1" x14ac:dyDescent="0.25">
      <c r="A29" s="93"/>
      <c r="B29" s="93"/>
      <c r="C29" s="93"/>
      <c r="D29" s="17" t="s">
        <v>32</v>
      </c>
      <c r="E29" s="17" t="s">
        <v>25</v>
      </c>
      <c r="F29" s="17" t="s">
        <v>25</v>
      </c>
      <c r="G29" s="18" t="s">
        <v>77</v>
      </c>
      <c r="H29" s="18" t="s">
        <v>70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1.8679945330450001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1.8679945330450001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116.64036239826716</v>
      </c>
      <c r="Z29" s="13">
        <f>'TR TUSD'!$Z$29</f>
        <v>0</v>
      </c>
      <c r="AA29" s="13">
        <f>'TR TUSD'!$AA$29</f>
        <v>0</v>
      </c>
      <c r="AB29" s="13">
        <f>SUM($U$29:$AA$29)</f>
        <v>116.64036239826716</v>
      </c>
      <c r="AC29" s="13">
        <f>'TR TUSD'!$AC$29*'TR TUSD'!$AC$60</f>
        <v>425.14481151241813</v>
      </c>
      <c r="AD29" s="13">
        <f>SUM($AC$29:$AC$29)</f>
        <v>425.14481151241813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13.4274227051802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13.4274227051802</v>
      </c>
      <c r="AM29" s="13">
        <f ca="1">SUMIF($L$4:$AL$4,"SUBTOTAL",$L$29:$AL$29)</f>
        <v>557.08059114891046</v>
      </c>
      <c r="AP29" s="13">
        <f>IF((1 - CUSTOS!$M$27)&lt;&gt;0,1/(1 - CUSTOS!$M$27),1)</f>
        <v>1</v>
      </c>
    </row>
    <row r="30" spans="1:42" ht="11.25" customHeight="1" x14ac:dyDescent="0.25">
      <c r="A30" s="93" t="s">
        <v>40</v>
      </c>
      <c r="B30" s="93" t="s">
        <v>85</v>
      </c>
      <c r="C30" s="93" t="s">
        <v>41</v>
      </c>
      <c r="D30" s="93" t="s">
        <v>25</v>
      </c>
      <c r="E30" s="93" t="s">
        <v>25</v>
      </c>
      <c r="F30" s="93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1.8679945330450001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92.405319213353948</v>
      </c>
      <c r="R30" s="13">
        <f>'TR TUSD'!$R$30*'TR TUSD'!$R$60</f>
        <v>14.590530367741716</v>
      </c>
      <c r="S30" s="13">
        <f>'TR TUSD'!$S$30*'TR TUSD'!$S$60</f>
        <v>0</v>
      </c>
      <c r="T30" s="13">
        <f ca="1">SUM($L$30:$S$30)</f>
        <v>108.86384411414068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402.51018724552858</v>
      </c>
      <c r="Z30" s="13">
        <f>'TR TUSD'!$Z$30</f>
        <v>0</v>
      </c>
      <c r="AA30" s="13">
        <f>'TR TUSD'!$AA$30</f>
        <v>0</v>
      </c>
      <c r="AB30" s="13">
        <f>SUM($U$30:$AA$30)</f>
        <v>402.51018724552858</v>
      </c>
      <c r="AC30" s="13">
        <f>'TR TUSD'!$AC$30*'TR TUSD'!$AC$60</f>
        <v>1254.1768902839794</v>
      </c>
      <c r="AD30" s="13">
        <f>SUM($AC$30:$AC$30)</f>
        <v>1254.1768902839794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13.4274227051802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13.4274227051802</v>
      </c>
      <c r="AM30" s="13">
        <f ca="1">SUMIF($L$4:$AL$4,"SUBTOTAL",$L$30:$AL$30)</f>
        <v>1778.9783443488288</v>
      </c>
      <c r="AP30" s="13">
        <f>IF((1 - CUSTOS!$M$28)&lt;&gt;0,1/(1 - CUSTOS!$M$28),1)</f>
        <v>1</v>
      </c>
    </row>
    <row r="31" spans="1:42" ht="11.25" customHeight="1" x14ac:dyDescent="0.25">
      <c r="A31" s="93"/>
      <c r="B31" s="93"/>
      <c r="C31" s="93"/>
      <c r="D31" s="93"/>
      <c r="E31" s="93"/>
      <c r="F31" s="93"/>
      <c r="G31" s="18" t="s">
        <v>83</v>
      </c>
      <c r="H31" s="18" t="s">
        <v>70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1.8679945330450001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92.405319213353948</v>
      </c>
      <c r="R31" s="13">
        <f>'TR TUSD'!$R$31*'TR TUSD'!$R$60</f>
        <v>14.590530367741716</v>
      </c>
      <c r="S31" s="13">
        <f>'TR TUSD'!$S$31*'TR TUSD'!$S$60</f>
        <v>0</v>
      </c>
      <c r="T31" s="13">
        <f ca="1">SUM($L$31:$S$31)</f>
        <v>108.86384411414068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241.4599290742278</v>
      </c>
      <c r="Z31" s="13">
        <f>'TR TUSD'!$Z$31</f>
        <v>0</v>
      </c>
      <c r="AA31" s="13">
        <f>'TR TUSD'!$AA$31</f>
        <v>0</v>
      </c>
      <c r="AB31" s="13">
        <f>SUM($U$31:$AA$31)</f>
        <v>241.4599290742278</v>
      </c>
      <c r="AC31" s="13">
        <f>'TR TUSD'!$AC$31*'TR TUSD'!$AC$60</f>
        <v>752.50596064029946</v>
      </c>
      <c r="AD31" s="13">
        <f>SUM($AC$31:$AC$31)</f>
        <v>752.50596064029946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13.4274227051802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13.4274227051802</v>
      </c>
      <c r="AM31" s="13">
        <f ca="1">SUMIF($L$4:$AL$4,"SUBTOTAL",$L$31:$AL$31)</f>
        <v>1116.257156533848</v>
      </c>
      <c r="AP31" s="13">
        <f>IF((1 - CUSTOS!$M$28)&lt;&gt;0,1/(1 - CUSTOS!$M$28),1)</f>
        <v>1</v>
      </c>
    </row>
    <row r="32" spans="1:42" ht="11.25" customHeight="1" x14ac:dyDescent="0.25">
      <c r="A32" s="93"/>
      <c r="B32" s="93"/>
      <c r="C32" s="93"/>
      <c r="D32" s="93"/>
      <c r="E32" s="93"/>
      <c r="F32" s="93"/>
      <c r="G32" s="18" t="s">
        <v>72</v>
      </c>
      <c r="H32" s="18" t="s">
        <v>70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1.8679945330450001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92.405319213353948</v>
      </c>
      <c r="R32" s="13">
        <f>'TR TUSD'!$R$32*'TR TUSD'!$R$60</f>
        <v>14.590530367741716</v>
      </c>
      <c r="S32" s="13">
        <f>'TR TUSD'!$S$32*'TR TUSD'!$S$60</f>
        <v>0</v>
      </c>
      <c r="T32" s="13">
        <f ca="1">SUM($L$32:$S$32)</f>
        <v>108.86384411414068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80.467453896334789</v>
      </c>
      <c r="Z32" s="13">
        <f>'TR TUSD'!$Z$32</f>
        <v>0</v>
      </c>
      <c r="AA32" s="13">
        <f>'TR TUSD'!$AA$32</f>
        <v>0</v>
      </c>
      <c r="AB32" s="13">
        <f>SUM($U$32:$AA$32)</f>
        <v>80.467453896334789</v>
      </c>
      <c r="AC32" s="13">
        <f>'TR TUSD'!$AC$32*'TR TUSD'!$AC$60</f>
        <v>250.83524790922976</v>
      </c>
      <c r="AD32" s="13">
        <f>SUM($AC$32:$AC$32)</f>
        <v>250.83524790922976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13.4274227051802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13.4274227051802</v>
      </c>
      <c r="AM32" s="13">
        <f ca="1">SUMIF($L$4:$AL$4,"SUBTOTAL",$L$32:$AL$32)</f>
        <v>453.59396862488541</v>
      </c>
      <c r="AP32" s="13">
        <f>IF((1 - CUSTOS!$M$28)&lt;&gt;0,1/(1 - CUSTOS!$M$28),1)</f>
        <v>1</v>
      </c>
    </row>
    <row r="33" spans="1:42" ht="11.25" customHeight="1" x14ac:dyDescent="0.25">
      <c r="A33" s="93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77</v>
      </c>
      <c r="H33" s="18" t="s">
        <v>70</v>
      </c>
      <c r="I33" s="18">
        <f>'MERCADO TUSD'!$U$30</f>
        <v>3283.42</v>
      </c>
      <c r="J33" s="15"/>
      <c r="L33" s="13">
        <f>'TR TUSD'!$L$33*'TR TUSD'!$L$60</f>
        <v>0</v>
      </c>
      <c r="M33" s="13">
        <f>'TR TUSD'!$M$33*'TR TUSD'!$M$60</f>
        <v>1.8679945330450001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92.405319213353948</v>
      </c>
      <c r="R33" s="13">
        <f>'TR TUSD'!$R$33*'TR TUSD'!$R$60</f>
        <v>14.590530367741716</v>
      </c>
      <c r="S33" s="13">
        <f>'TR TUSD'!$S$33*'TR TUSD'!$S$60</f>
        <v>0</v>
      </c>
      <c r="T33" s="13">
        <f ca="1">SUM($L$33:$S$33)</f>
        <v>108.86384411414068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116.64036239826716</v>
      </c>
      <c r="Z33" s="13">
        <f>'TR TUSD'!$Z$33</f>
        <v>0</v>
      </c>
      <c r="AA33" s="13">
        <f>'TR TUSD'!$AA$33</f>
        <v>0</v>
      </c>
      <c r="AB33" s="13">
        <f>SUM($U$33:$AA$33)</f>
        <v>116.64036239826716</v>
      </c>
      <c r="AC33" s="13">
        <f>'TR TUSD'!$AC$33*'TR TUSD'!$AC$60</f>
        <v>425.14481151241813</v>
      </c>
      <c r="AD33" s="13">
        <f>SUM($AC$33:$AC$33)</f>
        <v>425.14481151241813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13.4274227051802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13.4274227051802</v>
      </c>
      <c r="AM33" s="13">
        <f ca="1">SUMIF($L$4:$AL$4,"SUBTOTAL",$L$33:$AL$33)</f>
        <v>664.0764407300062</v>
      </c>
      <c r="AP33" s="13">
        <f>IF((1 - CUSTOS!$M$28)&lt;&gt;0,1/(1 - CUSTOS!$M$28),1)</f>
        <v>1</v>
      </c>
    </row>
    <row r="34" spans="1:42" ht="11.25" customHeight="1" x14ac:dyDescent="0.25">
      <c r="A34" s="93"/>
      <c r="B34" s="93" t="s">
        <v>85</v>
      </c>
      <c r="C34" s="93" t="s">
        <v>41</v>
      </c>
      <c r="D34" s="93" t="s">
        <v>88</v>
      </c>
      <c r="E34" s="93" t="s">
        <v>25</v>
      </c>
      <c r="F34" s="93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1.8679945330450001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92.405319213353948</v>
      </c>
      <c r="R34" s="13">
        <f>'TR TUSD'!$R$34*'TR TUSD'!$R$60</f>
        <v>14.590530367741716</v>
      </c>
      <c r="S34" s="13">
        <f>'TR TUSD'!$S$34*'TR TUSD'!$S$60</f>
        <v>0</v>
      </c>
      <c r="T34" s="13">
        <f ca="1">SUM($L$34:$S$34)</f>
        <v>108.86384411414068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402.51018724552858</v>
      </c>
      <c r="Z34" s="13">
        <f>'TR TUSD'!$Z$34</f>
        <v>0</v>
      </c>
      <c r="AA34" s="13">
        <f>'TR TUSD'!$AA$34</f>
        <v>0</v>
      </c>
      <c r="AB34" s="13">
        <f>SUM($U$34:$AA$34)</f>
        <v>402.51018724552858</v>
      </c>
      <c r="AC34" s="13">
        <f>'TR TUSD'!$AC$34*'TR TUSD'!$AC$60</f>
        <v>1254.1768902839794</v>
      </c>
      <c r="AD34" s="13">
        <f>SUM($AC$34:$AC$34)</f>
        <v>1254.1768902839794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13.4274227051802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13.4274227051802</v>
      </c>
      <c r="AM34" s="13">
        <f ca="1">SUMIF($L$4:$AL$4,"SUBTOTAL",$L$34:$AL$34)</f>
        <v>1778.9783443488288</v>
      </c>
      <c r="AP34" s="13">
        <f>IF((1 - CUSTOS!$M$29)&lt;&gt;0,1/(1 - CUSTOS!$M$29),1)</f>
        <v>1</v>
      </c>
    </row>
    <row r="35" spans="1:42" ht="11.25" customHeight="1" x14ac:dyDescent="0.25">
      <c r="A35" s="93"/>
      <c r="B35" s="93"/>
      <c r="C35" s="93"/>
      <c r="D35" s="93"/>
      <c r="E35" s="93"/>
      <c r="F35" s="93"/>
      <c r="G35" s="18" t="s">
        <v>83</v>
      </c>
      <c r="H35" s="18" t="s">
        <v>70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1.8679945330450001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92.405319213353948</v>
      </c>
      <c r="R35" s="13">
        <f>'TR TUSD'!$R$35*'TR TUSD'!$R$60</f>
        <v>14.590530367741716</v>
      </c>
      <c r="S35" s="13">
        <f>'TR TUSD'!$S$35*'TR TUSD'!$S$60</f>
        <v>0</v>
      </c>
      <c r="T35" s="13">
        <f ca="1">SUM($L$35:$S$35)</f>
        <v>108.86384411414068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241.4599290742278</v>
      </c>
      <c r="Z35" s="13">
        <f>'TR TUSD'!$Z$35</f>
        <v>0</v>
      </c>
      <c r="AA35" s="13">
        <f>'TR TUSD'!$AA$35</f>
        <v>0</v>
      </c>
      <c r="AB35" s="13">
        <f>SUM($U$35:$AA$35)</f>
        <v>241.4599290742278</v>
      </c>
      <c r="AC35" s="13">
        <f>'TR TUSD'!$AC$35*'TR TUSD'!$AC$60</f>
        <v>752.50596064029946</v>
      </c>
      <c r="AD35" s="13">
        <f>SUM($AC$35:$AC$35)</f>
        <v>752.50596064029946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13.4274227051802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13.4274227051802</v>
      </c>
      <c r="AM35" s="13">
        <f ca="1">SUMIF($L$4:$AL$4,"SUBTOTAL",$L$35:$AL$35)</f>
        <v>1116.257156533848</v>
      </c>
      <c r="AP35" s="13">
        <f>IF((1 - CUSTOS!$M$29)&lt;&gt;0,1/(1 - CUSTOS!$M$29),1)</f>
        <v>1</v>
      </c>
    </row>
    <row r="36" spans="1:42" ht="11.25" customHeight="1" x14ac:dyDescent="0.25">
      <c r="A36" s="93"/>
      <c r="B36" s="93"/>
      <c r="C36" s="93"/>
      <c r="D36" s="93"/>
      <c r="E36" s="93"/>
      <c r="F36" s="93"/>
      <c r="G36" s="18" t="s">
        <v>72</v>
      </c>
      <c r="H36" s="18" t="s">
        <v>70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1.8679945330450001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92.405319213353948</v>
      </c>
      <c r="R36" s="13">
        <f>'TR TUSD'!$R$36*'TR TUSD'!$R$60</f>
        <v>14.590530367741716</v>
      </c>
      <c r="S36" s="13">
        <f>'TR TUSD'!$S$36*'TR TUSD'!$S$60</f>
        <v>0</v>
      </c>
      <c r="T36" s="13">
        <f ca="1">SUM($L$36:$S$36)</f>
        <v>108.86384411414068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80.467453896334789</v>
      </c>
      <c r="Z36" s="13">
        <f>'TR TUSD'!$Z$36</f>
        <v>0</v>
      </c>
      <c r="AA36" s="13">
        <f>'TR TUSD'!$AA$36</f>
        <v>0</v>
      </c>
      <c r="AB36" s="13">
        <f>SUM($U$36:$AA$36)</f>
        <v>80.467453896334789</v>
      </c>
      <c r="AC36" s="13">
        <f>'TR TUSD'!$AC$36*'TR TUSD'!$AC$60</f>
        <v>250.83524790922976</v>
      </c>
      <c r="AD36" s="13">
        <f>SUM($AC$36:$AC$36)</f>
        <v>250.83524790922976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13.4274227051802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13.4274227051802</v>
      </c>
      <c r="AM36" s="13">
        <f ca="1">SUMIF($L$4:$AL$4,"SUBTOTAL",$L$36:$AL$36)</f>
        <v>453.59396862488541</v>
      </c>
      <c r="AP36" s="13">
        <f>IF((1 - CUSTOS!$M$29)&lt;&gt;0,1/(1 - CUSTOS!$M$29),1)</f>
        <v>1</v>
      </c>
    </row>
    <row r="37" spans="1:42" ht="11.25" customHeight="1" x14ac:dyDescent="0.25">
      <c r="A37" s="93"/>
      <c r="B37" s="17" t="s">
        <v>23</v>
      </c>
      <c r="C37" s="17" t="s">
        <v>41</v>
      </c>
      <c r="D37" s="17" t="s">
        <v>88</v>
      </c>
      <c r="E37" s="17" t="s">
        <v>25</v>
      </c>
      <c r="F37" s="17" t="s">
        <v>25</v>
      </c>
      <c r="G37" s="18" t="s">
        <v>77</v>
      </c>
      <c r="H37" s="18" t="s">
        <v>70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1.8679945330450001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92.405319213353948</v>
      </c>
      <c r="R37" s="13">
        <f>'TR TUSD'!$R$37*'TR TUSD'!$R$60</f>
        <v>14.590530367741716</v>
      </c>
      <c r="S37" s="13">
        <f>'TR TUSD'!$S$37*'TR TUSD'!$S$60</f>
        <v>0</v>
      </c>
      <c r="T37" s="13">
        <f ca="1">SUM($L$37:$S$37)</f>
        <v>108.86384411414068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116.64036239826716</v>
      </c>
      <c r="Z37" s="13">
        <f>'TR TUSD'!$Z$37</f>
        <v>0</v>
      </c>
      <c r="AA37" s="13">
        <f>'TR TUSD'!$AA$37</f>
        <v>0</v>
      </c>
      <c r="AB37" s="13">
        <f>SUM($U$37:$AA$37)</f>
        <v>116.64036239826716</v>
      </c>
      <c r="AC37" s="13">
        <f>'TR TUSD'!$AC$37*'TR TUSD'!$AC$60</f>
        <v>425.14481151241813</v>
      </c>
      <c r="AD37" s="13">
        <f>SUM($AC$37:$AC$37)</f>
        <v>425.14481151241813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13.4274227051802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13.4274227051802</v>
      </c>
      <c r="AM37" s="13">
        <f ca="1">SUMIF($L$4:$AL$4,"SUBTOTAL",$L$37:$AL$37)</f>
        <v>664.0764407300062</v>
      </c>
      <c r="AP37" s="13">
        <f>IF((1 - CUSTOS!$M$29)&lt;&gt;0,1/(1 - CUSTOS!$M$29),1)</f>
        <v>1</v>
      </c>
    </row>
    <row r="38" spans="1:42" ht="11.25" customHeight="1" x14ac:dyDescent="0.25">
      <c r="A38" s="93"/>
      <c r="B38" s="93" t="s">
        <v>85</v>
      </c>
      <c r="C38" s="93" t="s">
        <v>41</v>
      </c>
      <c r="D38" s="93" t="s">
        <v>89</v>
      </c>
      <c r="E38" s="93" t="s">
        <v>25</v>
      </c>
      <c r="F38" s="93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1.8679945330450001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92.405319213353948</v>
      </c>
      <c r="R38" s="13">
        <f>'TR TUSD'!$R$38*'TR TUSD'!$R$60</f>
        <v>14.590530367741716</v>
      </c>
      <c r="S38" s="13">
        <f>'TR TUSD'!$S$38*'TR TUSD'!$S$60</f>
        <v>0</v>
      </c>
      <c r="T38" s="13">
        <f ca="1">SUM($L$38:$S$38)</f>
        <v>108.86384411414068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402.51018724552858</v>
      </c>
      <c r="Z38" s="13">
        <f>'TR TUSD'!$Z$38</f>
        <v>0</v>
      </c>
      <c r="AA38" s="13">
        <f>'TR TUSD'!$AA$38</f>
        <v>0</v>
      </c>
      <c r="AB38" s="13">
        <f>SUM($U$38:$AA$38)</f>
        <v>402.51018724552858</v>
      </c>
      <c r="AC38" s="13">
        <f>'TR TUSD'!$AC$38*'TR TUSD'!$AC$60</f>
        <v>1254.1768902839794</v>
      </c>
      <c r="AD38" s="13">
        <f>SUM($AC$38:$AC$38)</f>
        <v>1254.1768902839794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13.4274227051802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13.4274227051802</v>
      </c>
      <c r="AM38" s="13">
        <f ca="1">SUMIF($L$4:$AL$4,"SUBTOTAL",$L$38:$AL$38)</f>
        <v>1778.9783443488288</v>
      </c>
      <c r="AP38" s="13">
        <f>IF((1 - CUSTOS!$M$30)&lt;&gt;0,1/(1 - CUSTOS!$M$30),1)</f>
        <v>1</v>
      </c>
    </row>
    <row r="39" spans="1:42" ht="11.25" customHeight="1" x14ac:dyDescent="0.25">
      <c r="A39" s="93"/>
      <c r="B39" s="93"/>
      <c r="C39" s="93"/>
      <c r="D39" s="93"/>
      <c r="E39" s="93"/>
      <c r="F39" s="93"/>
      <c r="G39" s="18" t="s">
        <v>83</v>
      </c>
      <c r="H39" s="18" t="s">
        <v>70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1.8679945330450001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92.405319213353948</v>
      </c>
      <c r="R39" s="13">
        <f>'TR TUSD'!$R$39*'TR TUSD'!$R$60</f>
        <v>14.590530367741716</v>
      </c>
      <c r="S39" s="13">
        <f>'TR TUSD'!$S$39*'TR TUSD'!$S$60</f>
        <v>0</v>
      </c>
      <c r="T39" s="13">
        <f ca="1">SUM($L$39:$S$39)</f>
        <v>108.86384411414068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241.4599290742278</v>
      </c>
      <c r="Z39" s="13">
        <f>'TR TUSD'!$Z$39</f>
        <v>0</v>
      </c>
      <c r="AA39" s="13">
        <f>'TR TUSD'!$AA$39</f>
        <v>0</v>
      </c>
      <c r="AB39" s="13">
        <f>SUM($U$39:$AA$39)</f>
        <v>241.4599290742278</v>
      </c>
      <c r="AC39" s="13">
        <f>'TR TUSD'!$AC$39*'TR TUSD'!$AC$60</f>
        <v>752.50596064029946</v>
      </c>
      <c r="AD39" s="13">
        <f>SUM($AC$39:$AC$39)</f>
        <v>752.50596064029946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13.4274227051802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13.4274227051802</v>
      </c>
      <c r="AM39" s="13">
        <f ca="1">SUMIF($L$4:$AL$4,"SUBTOTAL",$L$39:$AL$39)</f>
        <v>1116.257156533848</v>
      </c>
      <c r="AP39" s="13">
        <f>IF((1 - CUSTOS!$M$30)&lt;&gt;0,1/(1 - CUSTOS!$M$30),1)</f>
        <v>1</v>
      </c>
    </row>
    <row r="40" spans="1:42" ht="11.25" customHeight="1" x14ac:dyDescent="0.25">
      <c r="A40" s="93"/>
      <c r="B40" s="93"/>
      <c r="C40" s="93"/>
      <c r="D40" s="93"/>
      <c r="E40" s="93"/>
      <c r="F40" s="93"/>
      <c r="G40" s="18" t="s">
        <v>72</v>
      </c>
      <c r="H40" s="18" t="s">
        <v>70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1.8679945330450001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92.405319213353948</v>
      </c>
      <c r="R40" s="13">
        <f>'TR TUSD'!$R$40*'TR TUSD'!$R$60</f>
        <v>14.590530367741716</v>
      </c>
      <c r="S40" s="13">
        <f>'TR TUSD'!$S$40*'TR TUSD'!$S$60</f>
        <v>0</v>
      </c>
      <c r="T40" s="13">
        <f ca="1">SUM($L$40:$S$40)</f>
        <v>108.86384411414068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80.467453896334789</v>
      </c>
      <c r="Z40" s="13">
        <f>'TR TUSD'!$Z$40</f>
        <v>0</v>
      </c>
      <c r="AA40" s="13">
        <f>'TR TUSD'!$AA$40</f>
        <v>0</v>
      </c>
      <c r="AB40" s="13">
        <f>SUM($U$40:$AA$40)</f>
        <v>80.467453896334789</v>
      </c>
      <c r="AC40" s="13">
        <f>'TR TUSD'!$AC$40*'TR TUSD'!$AC$60</f>
        <v>250.83524790922976</v>
      </c>
      <c r="AD40" s="13">
        <f>SUM($AC$40:$AC$40)</f>
        <v>250.83524790922976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13.4274227051802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13.4274227051802</v>
      </c>
      <c r="AM40" s="13">
        <f ca="1">SUMIF($L$4:$AL$4,"SUBTOTAL",$L$40:$AL$40)</f>
        <v>453.59396862488541</v>
      </c>
      <c r="AP40" s="13">
        <f>IF((1 - CUSTOS!$M$30)&lt;&gt;0,1/(1 - CUSTOS!$M$30),1)</f>
        <v>1</v>
      </c>
    </row>
    <row r="41" spans="1:42" ht="11.25" customHeight="1" x14ac:dyDescent="0.25">
      <c r="A41" s="93"/>
      <c r="B41" s="17" t="s">
        <v>23</v>
      </c>
      <c r="C41" s="17" t="s">
        <v>41</v>
      </c>
      <c r="D41" s="17" t="s">
        <v>89</v>
      </c>
      <c r="E41" s="17" t="s">
        <v>25</v>
      </c>
      <c r="F41" s="17" t="s">
        <v>25</v>
      </c>
      <c r="G41" s="18" t="s">
        <v>77</v>
      </c>
      <c r="H41" s="18" t="s">
        <v>70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1.8679945330450001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92.405319213353948</v>
      </c>
      <c r="R41" s="13">
        <f>'TR TUSD'!$R$41*'TR TUSD'!$R$60</f>
        <v>14.590530367741716</v>
      </c>
      <c r="S41" s="13">
        <f>'TR TUSD'!$S$41*'TR TUSD'!$S$60</f>
        <v>0</v>
      </c>
      <c r="T41" s="13">
        <f ca="1">SUM($L$41:$S$41)</f>
        <v>108.86384411414068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116.64036239826716</v>
      </c>
      <c r="Z41" s="13">
        <f>'TR TUSD'!$Z$41</f>
        <v>0</v>
      </c>
      <c r="AA41" s="13">
        <f>'TR TUSD'!$AA$41</f>
        <v>0</v>
      </c>
      <c r="AB41" s="13">
        <f>SUM($U$41:$AA$41)</f>
        <v>116.64036239826716</v>
      </c>
      <c r="AC41" s="13">
        <f>'TR TUSD'!$AC$41*'TR TUSD'!$AC$60</f>
        <v>425.14481151241813</v>
      </c>
      <c r="AD41" s="13">
        <f>SUM($AC$41:$AC$41)</f>
        <v>425.14481151241813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13.4274227051802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13.4274227051802</v>
      </c>
      <c r="AM41" s="13">
        <f ca="1">SUMIF($L$4:$AL$4,"SUBTOTAL",$L$41:$AL$41)</f>
        <v>664.0764407300062</v>
      </c>
      <c r="AP41" s="13">
        <f>IF((1 - CUSTOS!$M$30)&lt;&gt;0,1/(1 - CUSTOS!$M$30),1)</f>
        <v>1</v>
      </c>
    </row>
    <row r="42" spans="1:42" ht="11.25" customHeight="1" x14ac:dyDescent="0.25">
      <c r="A42" s="93"/>
      <c r="B42" s="93" t="s">
        <v>87</v>
      </c>
      <c r="C42" s="93" t="s">
        <v>41</v>
      </c>
      <c r="D42" s="17" t="s">
        <v>25</v>
      </c>
      <c r="E42" s="17" t="s">
        <v>25</v>
      </c>
      <c r="F42" s="17" t="s">
        <v>25</v>
      </c>
      <c r="G42" s="18" t="s">
        <v>77</v>
      </c>
      <c r="H42" s="18" t="s">
        <v>70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1.8679945330450001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92.405319213353948</v>
      </c>
      <c r="R42" s="13">
        <f>'TR TUSD'!$R$42*'TR TUSD'!$R$60</f>
        <v>14.590530367741716</v>
      </c>
      <c r="S42" s="13">
        <f>'TR TUSD'!$S$42*'TR TUSD'!$S$60</f>
        <v>0</v>
      </c>
      <c r="T42" s="13">
        <f ca="1">SUM($L$42:$S$42)</f>
        <v>108.86384411414068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116.64036239826716</v>
      </c>
      <c r="Z42" s="13">
        <f>'TR TUSD'!$Z$42</f>
        <v>0</v>
      </c>
      <c r="AA42" s="13">
        <f>'TR TUSD'!$AA$42</f>
        <v>0</v>
      </c>
      <c r="AB42" s="13">
        <f>SUM($U$42:$AA$42)</f>
        <v>116.64036239826716</v>
      </c>
      <c r="AC42" s="13">
        <f>'TR TUSD'!$AC$42*'TR TUSD'!$AC$60</f>
        <v>425.14481151241813</v>
      </c>
      <c r="AD42" s="13">
        <f>SUM($AC$42:$AC$42)</f>
        <v>425.14481151241813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13.4274227051802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13.4274227051802</v>
      </c>
      <c r="AM42" s="13">
        <f ca="1">SUMIF($L$4:$AL$4,"SUBTOTAL",$L$42:$AL$42)</f>
        <v>664.0764407300062</v>
      </c>
      <c r="AP42" s="13">
        <f>IF((1 - CUSTOS!$M$28)&lt;&gt;0,1/(1 - CUSTOS!$M$28),1)</f>
        <v>1</v>
      </c>
    </row>
    <row r="43" spans="1:42" ht="11.25" customHeight="1" x14ac:dyDescent="0.25">
      <c r="A43" s="93"/>
      <c r="B43" s="93"/>
      <c r="C43" s="93"/>
      <c r="D43" s="17" t="s">
        <v>88</v>
      </c>
      <c r="E43" s="17" t="s">
        <v>25</v>
      </c>
      <c r="F43" s="17" t="s">
        <v>25</v>
      </c>
      <c r="G43" s="18" t="s">
        <v>77</v>
      </c>
      <c r="H43" s="18" t="s">
        <v>70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1.8679945330450001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92.405319213353948</v>
      </c>
      <c r="R43" s="13">
        <f>'TR TUSD'!$R$43*'TR TUSD'!$R$60</f>
        <v>14.590530367741716</v>
      </c>
      <c r="S43" s="13">
        <f>'TR TUSD'!$S$43*'TR TUSD'!$S$60</f>
        <v>0</v>
      </c>
      <c r="T43" s="13">
        <f ca="1">SUM($L$43:$S$43)</f>
        <v>108.86384411414068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116.64036239826716</v>
      </c>
      <c r="Z43" s="13">
        <f>'TR TUSD'!$Z$43</f>
        <v>0</v>
      </c>
      <c r="AA43" s="13">
        <f>'TR TUSD'!$AA$43</f>
        <v>0</v>
      </c>
      <c r="AB43" s="13">
        <f>SUM($U$43:$AA$43)</f>
        <v>116.64036239826716</v>
      </c>
      <c r="AC43" s="13">
        <f>'TR TUSD'!$AC$43*'TR TUSD'!$AC$60</f>
        <v>425.14481151241813</v>
      </c>
      <c r="AD43" s="13">
        <f>SUM($AC$43:$AC$43)</f>
        <v>425.14481151241813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13.4274227051802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13.4274227051802</v>
      </c>
      <c r="AM43" s="13">
        <f ca="1">SUMIF($L$4:$AL$4,"SUBTOTAL",$L$43:$AL$43)</f>
        <v>664.0764407300062</v>
      </c>
      <c r="AP43" s="13">
        <f>IF((1 - CUSTOS!$M$29)&lt;&gt;0,1/(1 - CUSTOS!$M$29),1)</f>
        <v>1</v>
      </c>
    </row>
    <row r="44" spans="1:42" ht="11.25" customHeight="1" x14ac:dyDescent="0.25">
      <c r="A44" s="93"/>
      <c r="B44" s="93"/>
      <c r="C44" s="93"/>
      <c r="D44" s="17" t="s">
        <v>89</v>
      </c>
      <c r="E44" s="17" t="s">
        <v>25</v>
      </c>
      <c r="F44" s="17" t="s">
        <v>25</v>
      </c>
      <c r="G44" s="18" t="s">
        <v>77</v>
      </c>
      <c r="H44" s="18" t="s">
        <v>70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1.8679945330450001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92.405319213353948</v>
      </c>
      <c r="R44" s="13">
        <f>'TR TUSD'!$R$44*'TR TUSD'!$R$60</f>
        <v>14.590530367741716</v>
      </c>
      <c r="S44" s="13">
        <f>'TR TUSD'!$S$44*'TR TUSD'!$S$60</f>
        <v>0</v>
      </c>
      <c r="T44" s="13">
        <f ca="1">SUM($L$44:$S$44)</f>
        <v>108.86384411414068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116.64036239826716</v>
      </c>
      <c r="Z44" s="13">
        <f>'TR TUSD'!$Z$44</f>
        <v>0</v>
      </c>
      <c r="AA44" s="13">
        <f>'TR TUSD'!$AA$44</f>
        <v>0</v>
      </c>
      <c r="AB44" s="13">
        <f>SUM($U$44:$AA$44)</f>
        <v>116.64036239826716</v>
      </c>
      <c r="AC44" s="13">
        <f>'TR TUSD'!$AC$44*'TR TUSD'!$AC$60</f>
        <v>425.14481151241813</v>
      </c>
      <c r="AD44" s="13">
        <f>SUM($AC$44:$AC$44)</f>
        <v>425.14481151241813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13.4274227051802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13.4274227051802</v>
      </c>
      <c r="AM44" s="13">
        <f ca="1">SUMIF($L$4:$AL$4,"SUBTOTAL",$L$44:$AL$44)</f>
        <v>664.0764407300062</v>
      </c>
      <c r="AP44" s="13">
        <f>IF((1 - CUSTOS!$M$30)&lt;&gt;0,1/(1 - CUSTOS!$M$30),1)</f>
        <v>1</v>
      </c>
    </row>
    <row r="45" spans="1:42" ht="11.25" customHeight="1" x14ac:dyDescent="0.25">
      <c r="A45" s="93" t="s">
        <v>33</v>
      </c>
      <c r="B45" s="93" t="s">
        <v>85</v>
      </c>
      <c r="C45" s="93" t="s">
        <v>25</v>
      </c>
      <c r="D45" s="93" t="s">
        <v>25</v>
      </c>
      <c r="E45" s="93" t="s">
        <v>25</v>
      </c>
      <c r="F45" s="93" t="s">
        <v>25</v>
      </c>
      <c r="G45" s="18" t="s">
        <v>71</v>
      </c>
      <c r="H45" s="18" t="s">
        <v>70</v>
      </c>
      <c r="I45" s="18">
        <f>'MERCADO TUSD'!$U$42</f>
        <v>0</v>
      </c>
      <c r="J45" s="15"/>
      <c r="L45" s="13">
        <f>'TR TUSD'!$L$45*'TR TUSD'!$L$60</f>
        <v>0</v>
      </c>
      <c r="M45" s="13">
        <f>'TR TUSD'!$M$45*'TR TUSD'!$M$60</f>
        <v>1.8679945330450001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92.405319213353948</v>
      </c>
      <c r="R45" s="13">
        <f>'TR TUSD'!$R$45*'TR TUSD'!$R$60</f>
        <v>14.590530367741716</v>
      </c>
      <c r="S45" s="13">
        <f>'TR TUSD'!$S$45*'TR TUSD'!$S$60</f>
        <v>0</v>
      </c>
      <c r="T45" s="13">
        <f ca="1">SUM($L$45:$S$45)</f>
        <v>108.86384411414068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402.51018724552858</v>
      </c>
      <c r="Z45" s="13">
        <f>'TR TUSD'!$Z$45</f>
        <v>0</v>
      </c>
      <c r="AA45" s="13">
        <f>'TR TUSD'!$AA$45</f>
        <v>0</v>
      </c>
      <c r="AB45" s="13">
        <f>SUM($U$45:$AA$45)</f>
        <v>402.51018724552858</v>
      </c>
      <c r="AC45" s="13">
        <f>'TR TUSD'!$AC$45*'TR TUSD'!$AC$60</f>
        <v>1466.7489706712729</v>
      </c>
      <c r="AD45" s="13">
        <f>SUM($AC$45:$AC$45)</f>
        <v>1466.7489706712729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13.4274227051802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13.4274227051802</v>
      </c>
      <c r="AM45" s="13">
        <f ca="1">SUMIF($L$4:$AL$4,"SUBTOTAL",$L$45:$AL$45)</f>
        <v>1991.5504247361223</v>
      </c>
      <c r="AP45" s="13">
        <f>IF((1 - CUSTOS!$M$31)&lt;&gt;0,1/(1 - CUSTOS!$M$31),1)</f>
        <v>1</v>
      </c>
    </row>
    <row r="46" spans="1:42" ht="11.25" customHeight="1" x14ac:dyDescent="0.25">
      <c r="A46" s="93"/>
      <c r="B46" s="93"/>
      <c r="C46" s="93"/>
      <c r="D46" s="93"/>
      <c r="E46" s="93"/>
      <c r="F46" s="93"/>
      <c r="G46" s="18" t="s">
        <v>83</v>
      </c>
      <c r="H46" s="18" t="s">
        <v>70</v>
      </c>
      <c r="I46" s="18">
        <f>'MERCADO TUSD'!$U$43</f>
        <v>0</v>
      </c>
      <c r="J46" s="15"/>
      <c r="L46" s="13">
        <f>'TR TUSD'!$L$46*'TR TUSD'!$L$60</f>
        <v>0</v>
      </c>
      <c r="M46" s="13">
        <f>'TR TUSD'!$M$46*'TR TUSD'!$M$60</f>
        <v>1.8679945330450001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92.405319213353948</v>
      </c>
      <c r="R46" s="13">
        <f>'TR TUSD'!$R$46*'TR TUSD'!$R$60</f>
        <v>14.590530367741716</v>
      </c>
      <c r="S46" s="13">
        <f>'TR TUSD'!$S$46*'TR TUSD'!$S$60</f>
        <v>0</v>
      </c>
      <c r="T46" s="13">
        <f ca="1">SUM($L$46:$S$46)</f>
        <v>108.86384411414068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241.4599290742278</v>
      </c>
      <c r="Z46" s="13">
        <f>'TR TUSD'!$Z$46</f>
        <v>0</v>
      </c>
      <c r="AA46" s="13">
        <f>'TR TUSD'!$AA$46</f>
        <v>0</v>
      </c>
      <c r="AB46" s="13">
        <f>SUM($U$46:$AA$46)</f>
        <v>241.4599290742278</v>
      </c>
      <c r="AC46" s="13">
        <f>'TR TUSD'!$AC$46*'TR TUSD'!$AC$60</f>
        <v>880.0492739464587</v>
      </c>
      <c r="AD46" s="13">
        <f>SUM($AC$46:$AC$46)</f>
        <v>880.0492739464587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13.4274227051802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13.4274227051802</v>
      </c>
      <c r="AM46" s="13">
        <f ca="1">SUMIF($L$4:$AL$4,"SUBTOTAL",$L$46:$AL$46)</f>
        <v>1243.8004698400073</v>
      </c>
      <c r="AP46" s="13">
        <f>IF((1 - CUSTOS!$M$31)&lt;&gt;0,1/(1 - CUSTOS!$M$31),1)</f>
        <v>1</v>
      </c>
    </row>
    <row r="47" spans="1:42" ht="11.25" customHeight="1" x14ac:dyDescent="0.25">
      <c r="A47" s="93"/>
      <c r="B47" s="93"/>
      <c r="C47" s="93"/>
      <c r="D47" s="93"/>
      <c r="E47" s="93"/>
      <c r="F47" s="93"/>
      <c r="G47" s="18" t="s">
        <v>72</v>
      </c>
      <c r="H47" s="18" t="s">
        <v>70</v>
      </c>
      <c r="I47" s="18">
        <f>'MERCADO TUSD'!$U$44</f>
        <v>0</v>
      </c>
      <c r="J47" s="15"/>
      <c r="L47" s="13">
        <f>'TR TUSD'!$L$47*'TR TUSD'!$L$60</f>
        <v>0</v>
      </c>
      <c r="M47" s="13">
        <f>'TR TUSD'!$M$47*'TR TUSD'!$M$60</f>
        <v>1.8679945330450001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92.405319213353948</v>
      </c>
      <c r="R47" s="13">
        <f>'TR TUSD'!$R$47*'TR TUSD'!$R$60</f>
        <v>14.590530367741716</v>
      </c>
      <c r="S47" s="13">
        <f>'TR TUSD'!$S$47*'TR TUSD'!$S$60</f>
        <v>0</v>
      </c>
      <c r="T47" s="13">
        <f ca="1">SUM($L$47:$S$47)</f>
        <v>108.86384411414068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80.467453896334789</v>
      </c>
      <c r="Z47" s="13">
        <f>'TR TUSD'!$Z$47</f>
        <v>0</v>
      </c>
      <c r="AA47" s="13">
        <f>'TR TUSD'!$AA$47</f>
        <v>0</v>
      </c>
      <c r="AB47" s="13">
        <f>SUM($U$47:$AA$47)</f>
        <v>80.467453896334789</v>
      </c>
      <c r="AC47" s="13">
        <f>'TR TUSD'!$AC$47*'TR TUSD'!$AC$60</f>
        <v>293.35001104686478</v>
      </c>
      <c r="AD47" s="13">
        <f>SUM($AC$47:$AC$47)</f>
        <v>293.35001104686478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13.4274227051802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13.4274227051802</v>
      </c>
      <c r="AM47" s="13">
        <f ca="1">SUMIF($L$4:$AL$4,"SUBTOTAL",$L$47:$AL$47)</f>
        <v>496.10873176252045</v>
      </c>
      <c r="AP47" s="13">
        <f>IF((1 - CUSTOS!$M$31)&lt;&gt;0,1/(1 - CUSTOS!$M$31),1)</f>
        <v>1</v>
      </c>
    </row>
    <row r="48" spans="1:42" ht="11.25" customHeight="1" x14ac:dyDescent="0.25">
      <c r="A48" s="93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77</v>
      </c>
      <c r="H48" s="18" t="s">
        <v>70</v>
      </c>
      <c r="I48" s="18">
        <f>'MERCADO TUSD'!$U$45</f>
        <v>4711.0929999999998</v>
      </c>
      <c r="J48" s="15"/>
      <c r="L48" s="13">
        <f>'TR TUSD'!$L$48*'TR TUSD'!$L$60</f>
        <v>0</v>
      </c>
      <c r="M48" s="13">
        <f>'TR TUSD'!$M$48*'TR TUSD'!$M$60</f>
        <v>1.8679945330450001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92.405319213353948</v>
      </c>
      <c r="R48" s="13">
        <f>'TR TUSD'!$R$48*'TR TUSD'!$R$60</f>
        <v>14.590530367741716</v>
      </c>
      <c r="S48" s="13">
        <f>'TR TUSD'!$S$48*'TR TUSD'!$S$60</f>
        <v>0</v>
      </c>
      <c r="T48" s="13">
        <f ca="1">SUM($L$48:$S$48)</f>
        <v>108.86384411414068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116.64036239826716</v>
      </c>
      <c r="Z48" s="13">
        <f>'TR TUSD'!$Z$48</f>
        <v>0</v>
      </c>
      <c r="AA48" s="13">
        <f>'TR TUSD'!$AA$48</f>
        <v>0</v>
      </c>
      <c r="AB48" s="13">
        <f>SUM($U$48:$AA$48)</f>
        <v>116.64036239826716</v>
      </c>
      <c r="AC48" s="13">
        <f>'TR TUSD'!$AC$48*'TR TUSD'!$AC$60</f>
        <v>425.14481151241813</v>
      </c>
      <c r="AD48" s="13">
        <f>SUM($AC$48:$AC$48)</f>
        <v>425.14481151241813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13.4274227051802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13.4274227051802</v>
      </c>
      <c r="AM48" s="13">
        <f ca="1">SUMIF($L$4:$AL$4,"SUBTOTAL",$L$48:$AL$48)</f>
        <v>664.0764407300062</v>
      </c>
      <c r="AP48" s="13">
        <f>IF((1 - CUSTOS!$M$31)&lt;&gt;0,1/(1 - CUSTOS!$M$31),1)</f>
        <v>1</v>
      </c>
    </row>
    <row r="49" spans="1:42" ht="11.25" customHeight="1" x14ac:dyDescent="0.25">
      <c r="A49" s="93"/>
      <c r="B49" s="17" t="s">
        <v>87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77</v>
      </c>
      <c r="H49" s="18" t="s">
        <v>70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1.8679945330450001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92.405319213353948</v>
      </c>
      <c r="R49" s="13">
        <f>'TR TUSD'!$R$49*'TR TUSD'!$R$60</f>
        <v>14.590530367741716</v>
      </c>
      <c r="S49" s="13">
        <f>'TR TUSD'!$S$49*'TR TUSD'!$S$60</f>
        <v>0</v>
      </c>
      <c r="T49" s="13">
        <f ca="1">SUM($L$49:$S$49)</f>
        <v>108.86384411414068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116.64036239826716</v>
      </c>
      <c r="Z49" s="13">
        <f>'TR TUSD'!$Z$49</f>
        <v>0</v>
      </c>
      <c r="AA49" s="13">
        <f>'TR TUSD'!$AA$49</f>
        <v>0</v>
      </c>
      <c r="AB49" s="13">
        <f>SUM($U$49:$AA$49)</f>
        <v>116.64036239826716</v>
      </c>
      <c r="AC49" s="13">
        <f>'TR TUSD'!$AC$49*'TR TUSD'!$AC$60</f>
        <v>425.14481151241813</v>
      </c>
      <c r="AD49" s="13">
        <f>SUM($AC$49:$AC$49)</f>
        <v>425.14481151241813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13.4274227051802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13.4274227051802</v>
      </c>
      <c r="AM49" s="13">
        <f ca="1">SUMIF($L$4:$AL$4,"SUBTOTAL",$L$49:$AL$49)</f>
        <v>664.0764407300062</v>
      </c>
      <c r="AP49" s="13">
        <f>IF((1 - CUSTOS!$M$31)&lt;&gt;0,1/(1 - CUSTOS!$M$31),1)</f>
        <v>1</v>
      </c>
    </row>
    <row r="50" spans="1:42" ht="11.25" customHeight="1" x14ac:dyDescent="0.25">
      <c r="A50" s="93" t="s">
        <v>43</v>
      </c>
      <c r="B50" s="93" t="s">
        <v>23</v>
      </c>
      <c r="C50" s="93" t="s">
        <v>44</v>
      </c>
      <c r="D50" s="17" t="s">
        <v>45</v>
      </c>
      <c r="E50" s="17" t="s">
        <v>25</v>
      </c>
      <c r="F50" s="17" t="s">
        <v>25</v>
      </c>
      <c r="G50" s="18" t="s">
        <v>77</v>
      </c>
      <c r="H50" s="18" t="s">
        <v>70</v>
      </c>
      <c r="I50" s="18">
        <f>'MERCADO TUSD'!$U$47</f>
        <v>1954.79</v>
      </c>
      <c r="J50" s="15"/>
      <c r="L50" s="13">
        <f>'TR TUSD'!$L$50*'TR TUSD'!$L$60</f>
        <v>0</v>
      </c>
      <c r="M50" s="13">
        <f>'TR TUSD'!$M$50*'TR TUSD'!$M$60</f>
        <v>1.0273969931747502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50.822925567344676</v>
      </c>
      <c r="R50" s="13">
        <f>'TR TUSD'!$R$50*'TR TUSD'!$R$60</f>
        <v>8.0247917022579447</v>
      </c>
      <c r="S50" s="13">
        <f>'TR TUSD'!$S$50*'TR TUSD'!$S$60</f>
        <v>0</v>
      </c>
      <c r="T50" s="13">
        <f ca="1">SUM($L$50:$S$50)</f>
        <v>59.875114262777366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64.152199319046943</v>
      </c>
      <c r="Z50" s="13">
        <f>'TR TUSD'!$Z$50</f>
        <v>0</v>
      </c>
      <c r="AA50" s="13">
        <f>'TR TUSD'!$AA$50</f>
        <v>0</v>
      </c>
      <c r="AB50" s="13">
        <f>SUM($U$50:$AA$50)</f>
        <v>64.152199319046943</v>
      </c>
      <c r="AC50" s="13">
        <f>'TR TUSD'!$AC$50*'TR TUSD'!$AC$60</f>
        <v>233.82964633182999</v>
      </c>
      <c r="AD50" s="13">
        <f>SUM($AC$50:$AC$50)</f>
        <v>233.82964633182999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7.385082487849111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7.385082487849111</v>
      </c>
      <c r="AM50" s="13">
        <f ca="1">SUMIF($L$4:$AL$4,"SUBTOTAL",$L$50:$AL$50)</f>
        <v>365.2420424015034</v>
      </c>
      <c r="AP50" s="13">
        <f>IF((1 - CUSTOS!$M$32)&lt;&gt;0,1/(1 - CUSTOS!$M$32),1)</f>
        <v>1.8181818181818181</v>
      </c>
    </row>
    <row r="51" spans="1:42" ht="11.25" customHeight="1" x14ac:dyDescent="0.25">
      <c r="A51" s="93"/>
      <c r="B51" s="93"/>
      <c r="C51" s="93"/>
      <c r="D51" s="18" t="s">
        <v>46</v>
      </c>
      <c r="E51" s="18" t="s">
        <v>25</v>
      </c>
      <c r="F51" s="18" t="s">
        <v>25</v>
      </c>
      <c r="G51" s="18" t="s">
        <v>77</v>
      </c>
      <c r="H51" s="18" t="s">
        <v>70</v>
      </c>
      <c r="I51" s="18">
        <f>'MERCADO TUSD'!$U$48</f>
        <v>1.4530000000000001</v>
      </c>
      <c r="J51" s="15"/>
      <c r="L51" s="13">
        <f>'TR TUSD'!$L$51*'TR TUSD'!$L$60</f>
        <v>0</v>
      </c>
      <c r="M51" s="13">
        <f>'TR TUSD'!$M$51*'TR TUSD'!$M$60</f>
        <v>1.1207967198269999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55.44319152801237</v>
      </c>
      <c r="R51" s="13">
        <f>'TR TUSD'!$R$51*'TR TUSD'!$R$60</f>
        <v>8.754318220645029</v>
      </c>
      <c r="S51" s="13">
        <f>'TR TUSD'!$S$51*'TR TUSD'!$S$60</f>
        <v>0</v>
      </c>
      <c r="T51" s="13">
        <f ca="1">SUM($L$51:$S$51)</f>
        <v>65.318306468484394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69.984217438960286</v>
      </c>
      <c r="Z51" s="13">
        <f>'TR TUSD'!$Z$51</f>
        <v>0</v>
      </c>
      <c r="AA51" s="13">
        <f>'TR TUSD'!$AA$51</f>
        <v>0</v>
      </c>
      <c r="AB51" s="13">
        <f>SUM($U$51:$AA$51)</f>
        <v>69.984217438960286</v>
      </c>
      <c r="AC51" s="13">
        <f>'TR TUSD'!$AC$51*'TR TUSD'!$AC$60</f>
        <v>255.08688690745086</v>
      </c>
      <c r="AD51" s="13">
        <f>SUM($AC$51:$AC$51)</f>
        <v>255.08688690745086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8.0564536231081192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8.0564536231081192</v>
      </c>
      <c r="AM51" s="13">
        <f ca="1">SUMIF($L$4:$AL$4,"SUBTOTAL",$L$51:$AL$51)</f>
        <v>398.44586443800364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461</v>
      </c>
      <c r="L53" s="13">
        <f>SUMPRODUCT($I$5:$I51,$L$5:$L51)</f>
        <v>0</v>
      </c>
      <c r="M53" s="13">
        <f>SUMPRODUCT($I$5:$I51,$M$5:$M51)</f>
        <v>43806.027946583577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2380089.2903099996</v>
      </c>
      <c r="R53" s="13">
        <f>SUMPRODUCT($I$5:$I51,$R$5:$R51)</f>
        <v>394052.81948999991</v>
      </c>
      <c r="S53" s="13">
        <f>SUMPRODUCT($I$5:$I51,$S$5:$S51)</f>
        <v>0</v>
      </c>
      <c r="T53" s="13">
        <f ca="1">SUMPRODUCT($I$5:$I51,$T$5:$T51)</f>
        <v>2817948.1377465837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3000554.5575800007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3000554.5575800007</v>
      </c>
      <c r="AC53" s="13">
        <f>SUMPRODUCT($I$5:$I51,$AC$5:$AC51)</f>
        <v>9970000</v>
      </c>
      <c r="AD53" s="13">
        <f>SUMPRODUCT($I$5:$I51,$AD$5:$AD51)</f>
        <v>9970000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307181.96263148828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307181.96263148828</v>
      </c>
      <c r="AM53" s="13">
        <f ca="1">SUMPRODUCT($I$5:$I51,$AM$5:$AM51)</f>
        <v>16095684.657958074</v>
      </c>
    </row>
    <row r="54" spans="1:42" ht="11.25" customHeight="1" x14ac:dyDescent="0.25">
      <c r="K54" s="16" t="s">
        <v>393</v>
      </c>
      <c r="L54" s="13">
        <f>'TR TUSD'!$L$56</f>
        <v>0</v>
      </c>
      <c r="M54" s="13">
        <f>'TR TUSD'!$M$56</f>
        <v>43806.02794658357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2380089.2903099996</v>
      </c>
      <c r="R54" s="13">
        <f>'TR TUSD'!$R$56</f>
        <v>394052.81948999997</v>
      </c>
      <c r="S54" s="13">
        <f>'TR TUSD'!$S$56</f>
        <v>0</v>
      </c>
      <c r="T54" s="13">
        <f>'TR TUSD'!$T$56</f>
        <v>2817948.1377465832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3000554.5575799998</v>
      </c>
      <c r="Z54" s="13">
        <f>'TR TUSD'!$Z$56</f>
        <v>0</v>
      </c>
      <c r="AA54" s="13">
        <f>'TR TUSD'!$AA$56</f>
        <v>0</v>
      </c>
      <c r="AB54" s="13">
        <f>'TR TUSD'!$AB$56</f>
        <v>3000554.5575799998</v>
      </c>
      <c r="AC54" s="13">
        <f>'TR TUSD'!$AC$56</f>
        <v>9970000</v>
      </c>
      <c r="AD54" s="13">
        <f>'TR TUSD'!$AD$56</f>
        <v>9970000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307181.96263148834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307181.96263148834</v>
      </c>
      <c r="AM54" s="13">
        <f>CUSTOS!$D$29</f>
        <v>16095684.657958072</v>
      </c>
    </row>
    <row r="55" spans="1:42" ht="11.25" customHeight="1" x14ac:dyDescent="0.25">
      <c r="K55" s="16" t="s">
        <v>394</v>
      </c>
      <c r="L55" s="13">
        <f>CUSTOS!$E$2</f>
        <v>0</v>
      </c>
      <c r="M55" s="13">
        <f>CUSTOS!$E$3</f>
        <v>-650.1728378535588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-11615.655628564573</v>
      </c>
      <c r="R55" s="13">
        <f>CUSTOS!$E$8</f>
        <v>-1842.6577454173989</v>
      </c>
      <c r="S55" s="13">
        <f>CUSTOS!$E$9</f>
        <v>0</v>
      </c>
      <c r="T55" s="13">
        <f>CUSTOS!$E$10</f>
        <v>-14108.48621183553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147750.74491294715</v>
      </c>
      <c r="Z55" s="13">
        <f>CUSTOS!$E$16</f>
        <v>0</v>
      </c>
      <c r="AA55" s="13">
        <f>CUSTOS!$E$17</f>
        <v>0</v>
      </c>
      <c r="AB55" s="13">
        <f>CUSTOS!$E$18</f>
        <v>147750.74491294715</v>
      </c>
      <c r="AC55" s="13">
        <f>CUSTOS!$E$19</f>
        <v>-3251682.4567118082</v>
      </c>
      <c r="AD55" s="13">
        <f>CUSTOS!$E$20</f>
        <v>-3251682.4567118082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-20583.934780884403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-20583.934780884403</v>
      </c>
      <c r="AM55" s="13">
        <f>CUSTOS!$E$29</f>
        <v>-3138624.1327915811</v>
      </c>
    </row>
    <row r="56" spans="1:42" ht="11.25" customHeight="1" x14ac:dyDescent="0.25">
      <c r="K56" s="16" t="s">
        <v>395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458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462</v>
      </c>
      <c r="L58" s="13">
        <f t="shared" ref="L58:R58" si="0">IF((L53-(0))&lt;&gt;0,(L55)/(L53-(0)),0)</f>
        <v>0</v>
      </c>
      <c r="M58" s="13">
        <f t="shared" si="0"/>
        <v>-1.4842086085649443E-2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-4.8803444794508818E-3</v>
      </c>
      <c r="R58" s="13">
        <f t="shared" si="0"/>
        <v>-4.6761694226734518E-3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4.9241145954070135E-2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-0.32614668572836591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-6.7008930487165289E-2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22" priority="55" operator="notEqual">
      <formula>$L$54-$L$57</formula>
    </cfRule>
    <cfRule type="cellIs" dxfId="721" priority="56" operator="equal">
      <formula>$L$54-$L$57</formula>
    </cfRule>
  </conditionalFormatting>
  <conditionalFormatting sqref="M53">
    <cfRule type="cellIs" dxfId="720" priority="53" operator="notEqual">
      <formula>$M$54-$M$57</formula>
    </cfRule>
    <cfRule type="cellIs" dxfId="719" priority="54" operator="equal">
      <formula>$M$54-$M$57</formula>
    </cfRule>
  </conditionalFormatting>
  <conditionalFormatting sqref="N53">
    <cfRule type="cellIs" dxfId="718" priority="51" operator="notEqual">
      <formula>$N$54-$N$57</formula>
    </cfRule>
    <cfRule type="cellIs" dxfId="717" priority="52" operator="equal">
      <formula>$N$54-$N$57</formula>
    </cfRule>
  </conditionalFormatting>
  <conditionalFormatting sqref="O53">
    <cfRule type="cellIs" dxfId="716" priority="49" operator="notEqual">
      <formula>$O$54-$O$57</formula>
    </cfRule>
    <cfRule type="cellIs" dxfId="715" priority="50" operator="equal">
      <formula>$O$54-$O$57</formula>
    </cfRule>
  </conditionalFormatting>
  <conditionalFormatting sqref="P53">
    <cfRule type="cellIs" dxfId="714" priority="47" operator="notEqual">
      <formula>$P$54-$P$57</formula>
    </cfRule>
    <cfRule type="cellIs" dxfId="713" priority="48" operator="equal">
      <formula>$P$54-$P$57</formula>
    </cfRule>
  </conditionalFormatting>
  <conditionalFormatting sqref="Q53">
    <cfRule type="cellIs" dxfId="712" priority="45" operator="notEqual">
      <formula>$Q$54-$Q$57</formula>
    </cfRule>
    <cfRule type="cellIs" dxfId="711" priority="46" operator="equal">
      <formula>$Q$54-$Q$57</formula>
    </cfRule>
  </conditionalFormatting>
  <conditionalFormatting sqref="R53">
    <cfRule type="cellIs" dxfId="710" priority="43" operator="notEqual">
      <formula>$R$54-$R$57</formula>
    </cfRule>
    <cfRule type="cellIs" dxfId="709" priority="44" operator="equal">
      <formula>$R$54-$R$57</formula>
    </cfRule>
  </conditionalFormatting>
  <conditionalFormatting sqref="S53">
    <cfRule type="cellIs" dxfId="708" priority="41" operator="notEqual">
      <formula>$S$54-$S$57</formula>
    </cfRule>
    <cfRule type="cellIs" dxfId="707" priority="42" operator="equal">
      <formula>$S$54-$S$57</formula>
    </cfRule>
  </conditionalFormatting>
  <conditionalFormatting sqref="T53">
    <cfRule type="cellIs" dxfId="706" priority="39" operator="notEqual">
      <formula>$T$54-$T$57</formula>
    </cfRule>
    <cfRule type="cellIs" dxfId="705" priority="40" operator="equal">
      <formula>$T$54-$T$57</formula>
    </cfRule>
  </conditionalFormatting>
  <conditionalFormatting sqref="U53">
    <cfRule type="cellIs" dxfId="704" priority="37" operator="notEqual">
      <formula>$U$54-$U$57</formula>
    </cfRule>
    <cfRule type="cellIs" dxfId="703" priority="38" operator="equal">
      <formula>$U$54-$U$57</formula>
    </cfRule>
  </conditionalFormatting>
  <conditionalFormatting sqref="V53">
    <cfRule type="cellIs" dxfId="702" priority="35" operator="notEqual">
      <formula>$V$54-$V$57</formula>
    </cfRule>
    <cfRule type="cellIs" dxfId="701" priority="36" operator="equal">
      <formula>$V$54-$V$57</formula>
    </cfRule>
  </conditionalFormatting>
  <conditionalFormatting sqref="W53">
    <cfRule type="cellIs" dxfId="700" priority="33" operator="notEqual">
      <formula>$W$54-$W$57</formula>
    </cfRule>
    <cfRule type="cellIs" dxfId="699" priority="34" operator="equal">
      <formula>$W$54-$W$57</formula>
    </cfRule>
  </conditionalFormatting>
  <conditionalFormatting sqref="X53">
    <cfRule type="cellIs" dxfId="698" priority="31" operator="notEqual">
      <formula>$X$54-$X$57</formula>
    </cfRule>
    <cfRule type="cellIs" dxfId="697" priority="32" operator="equal">
      <formula>$X$54-$X$57</formula>
    </cfRule>
  </conditionalFormatting>
  <conditionalFormatting sqref="Y53">
    <cfRule type="cellIs" dxfId="696" priority="29" operator="notEqual">
      <formula>$Y$54-$Y$57</formula>
    </cfRule>
    <cfRule type="cellIs" dxfId="695" priority="30" operator="equal">
      <formula>$Y$54-$Y$57</formula>
    </cfRule>
  </conditionalFormatting>
  <conditionalFormatting sqref="Z53">
    <cfRule type="cellIs" dxfId="694" priority="27" operator="notEqual">
      <formula>$Z$54-$Z$57</formula>
    </cfRule>
    <cfRule type="cellIs" dxfId="693" priority="28" operator="equal">
      <formula>$Z$54-$Z$57</formula>
    </cfRule>
  </conditionalFormatting>
  <conditionalFormatting sqref="AA53">
    <cfRule type="cellIs" dxfId="692" priority="25" operator="notEqual">
      <formula>$AA$54-$AA$57</formula>
    </cfRule>
    <cfRule type="cellIs" dxfId="691" priority="26" operator="equal">
      <formula>$AA$54-$AA$57</formula>
    </cfRule>
  </conditionalFormatting>
  <conditionalFormatting sqref="AB53">
    <cfRule type="cellIs" dxfId="690" priority="23" operator="notEqual">
      <formula>$AB$54-$AB$57</formula>
    </cfRule>
    <cfRule type="cellIs" dxfId="689" priority="24" operator="equal">
      <formula>$AB$54-$AB$57</formula>
    </cfRule>
  </conditionalFormatting>
  <conditionalFormatting sqref="AC53">
    <cfRule type="cellIs" dxfId="688" priority="21" operator="notEqual">
      <formula>$AC$54-$AC$57</formula>
    </cfRule>
    <cfRule type="cellIs" dxfId="687" priority="22" operator="equal">
      <formula>$AC$54-$AC$57</formula>
    </cfRule>
  </conditionalFormatting>
  <conditionalFormatting sqref="AD53">
    <cfRule type="cellIs" dxfId="686" priority="19" operator="notEqual">
      <formula>$AD$54-$AD$57</formula>
    </cfRule>
    <cfRule type="cellIs" dxfId="685" priority="20" operator="equal">
      <formula>$AD$54-$AD$57</formula>
    </cfRule>
  </conditionalFormatting>
  <conditionalFormatting sqref="AE53">
    <cfRule type="cellIs" dxfId="684" priority="17" operator="notEqual">
      <formula>$AE$54-$AE$57</formula>
    </cfRule>
    <cfRule type="cellIs" dxfId="683" priority="18" operator="equal">
      <formula>$AE$54-$AE$57</formula>
    </cfRule>
  </conditionalFormatting>
  <conditionalFormatting sqref="AF53">
    <cfRule type="cellIs" dxfId="682" priority="16" operator="equal">
      <formula>$AF$54-$AF$57</formula>
    </cfRule>
  </conditionalFormatting>
  <conditionalFormatting sqref="AF53">
    <cfRule type="cellIs" dxfId="681" priority="15" operator="notEqual">
      <formula>$AF$54-$AF$57</formula>
    </cfRule>
  </conditionalFormatting>
  <conditionalFormatting sqref="AG53">
    <cfRule type="cellIs" dxfId="680" priority="14" operator="equal">
      <formula>$AG$54-$AG$57</formula>
    </cfRule>
  </conditionalFormatting>
  <conditionalFormatting sqref="AG53">
    <cfRule type="cellIs" dxfId="679" priority="13" operator="notEqual">
      <formula>$AG$54-$AG$57</formula>
    </cfRule>
  </conditionalFormatting>
  <conditionalFormatting sqref="AH53">
    <cfRule type="cellIs" dxfId="678" priority="12" operator="equal">
      <formula>$AH$54-$AH$57</formula>
    </cfRule>
  </conditionalFormatting>
  <conditionalFormatting sqref="AH53">
    <cfRule type="cellIs" dxfId="677" priority="11" operator="notEqual">
      <formula>$AH$54-$AH$57</formula>
    </cfRule>
  </conditionalFormatting>
  <conditionalFormatting sqref="AI53">
    <cfRule type="cellIs" dxfId="676" priority="10" operator="equal">
      <formula>$AI$54-$AI$57</formula>
    </cfRule>
  </conditionalFormatting>
  <conditionalFormatting sqref="AI53">
    <cfRule type="cellIs" dxfId="675" priority="9" operator="notEqual">
      <formula>$AI$54-$AI$57</formula>
    </cfRule>
  </conditionalFormatting>
  <conditionalFormatting sqref="AJ53">
    <cfRule type="cellIs" dxfId="674" priority="8" operator="equal">
      <formula>$AJ$54-$AJ$57</formula>
    </cfRule>
  </conditionalFormatting>
  <conditionalFormatting sqref="AJ53">
    <cfRule type="cellIs" dxfId="673" priority="7" operator="notEqual">
      <formula>$AJ$54-$AJ$57</formula>
    </cfRule>
  </conditionalFormatting>
  <conditionalFormatting sqref="AK53">
    <cfRule type="cellIs" dxfId="672" priority="6" operator="equal">
      <formula>$AK$54-$AK$57</formula>
    </cfRule>
  </conditionalFormatting>
  <conditionalFormatting sqref="AK53">
    <cfRule type="cellIs" dxfId="671" priority="5" operator="notEqual">
      <formula>$AK$54-$AK$57</formula>
    </cfRule>
  </conditionalFormatting>
  <conditionalFormatting sqref="AL53">
    <cfRule type="cellIs" dxfId="670" priority="4" operator="equal">
      <formula>$AL$54-$AL$57</formula>
    </cfRule>
  </conditionalFormatting>
  <conditionalFormatting sqref="AL53">
    <cfRule type="cellIs" dxfId="669" priority="3" operator="notEqual">
      <formula>$AL$54-$AL$57</formula>
    </cfRule>
  </conditionalFormatting>
  <conditionalFormatting sqref="AM53">
    <cfRule type="cellIs" dxfId="668" priority="2" operator="equal">
      <formula>$AM$54-$AM$57</formula>
    </cfRule>
  </conditionalFormatting>
  <conditionalFormatting sqref="AM53">
    <cfRule type="cellIs" dxfId="66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2348-939A-45D4-B302-C4D439629A1F}">
  <dimension ref="A1:AP58"/>
  <sheetViews>
    <sheetView showGridLines="0" topLeftCell="AC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89" t="s">
        <v>60</v>
      </c>
      <c r="B1" s="89" t="s">
        <v>61</v>
      </c>
      <c r="C1" s="89" t="s">
        <v>62</v>
      </c>
      <c r="D1" s="89" t="s">
        <v>63</v>
      </c>
      <c r="E1" s="89" t="s">
        <v>64</v>
      </c>
      <c r="F1" s="89" t="s">
        <v>15</v>
      </c>
      <c r="G1" s="89" t="s">
        <v>66</v>
      </c>
      <c r="H1" s="89" t="s">
        <v>67</v>
      </c>
      <c r="I1" s="89" t="s">
        <v>452</v>
      </c>
      <c r="J1" s="82"/>
      <c r="L1" s="90" t="s">
        <v>469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O1" s="20"/>
      <c r="AP1" s="94" t="s">
        <v>454</v>
      </c>
    </row>
    <row r="2" spans="1:42" ht="11.2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82"/>
      <c r="L2" s="90" t="s">
        <v>351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O2" s="20"/>
      <c r="AP2" s="95"/>
    </row>
    <row r="3" spans="1:42" ht="11.25" customHeight="1" x14ac:dyDescent="0.25">
      <c r="A3" s="89"/>
      <c r="B3" s="89"/>
      <c r="C3" s="89"/>
      <c r="D3" s="89"/>
      <c r="E3" s="89"/>
      <c r="F3" s="89"/>
      <c r="G3" s="89"/>
      <c r="H3" s="89"/>
      <c r="I3" s="89"/>
      <c r="J3" s="82"/>
      <c r="L3" s="90" t="s">
        <v>352</v>
      </c>
      <c r="M3" s="90"/>
      <c r="N3" s="90"/>
      <c r="O3" s="90"/>
      <c r="P3" s="90"/>
      <c r="Q3" s="90"/>
      <c r="R3" s="90"/>
      <c r="S3" s="90"/>
      <c r="T3" s="90"/>
      <c r="U3" s="90" t="s">
        <v>361</v>
      </c>
      <c r="V3" s="90"/>
      <c r="W3" s="90"/>
      <c r="X3" s="90"/>
      <c r="Y3" s="90"/>
      <c r="Z3" s="90"/>
      <c r="AA3" s="90"/>
      <c r="AB3" s="90"/>
      <c r="AC3" s="90" t="s">
        <v>369</v>
      </c>
      <c r="AD3" s="90"/>
      <c r="AE3" s="90" t="s">
        <v>371</v>
      </c>
      <c r="AF3" s="90"/>
      <c r="AG3" s="90"/>
      <c r="AH3" s="90" t="s">
        <v>374</v>
      </c>
      <c r="AI3" s="90"/>
      <c r="AJ3" s="90"/>
      <c r="AK3" s="90"/>
      <c r="AL3" s="90"/>
      <c r="AM3" s="90" t="s">
        <v>360</v>
      </c>
      <c r="AO3" s="20"/>
      <c r="AP3" s="95"/>
    </row>
    <row r="4" spans="1:42" ht="11.25" customHeight="1" x14ac:dyDescent="0.25">
      <c r="A4" s="89"/>
      <c r="B4" s="89"/>
      <c r="C4" s="89"/>
      <c r="D4" s="89"/>
      <c r="E4" s="89"/>
      <c r="F4" s="89"/>
      <c r="G4" s="89"/>
      <c r="H4" s="89"/>
      <c r="I4" s="89"/>
      <c r="J4" s="82"/>
      <c r="L4" s="10" t="s">
        <v>437</v>
      </c>
      <c r="M4" s="10" t="s">
        <v>353</v>
      </c>
      <c r="N4" s="10" t="s">
        <v>354</v>
      </c>
      <c r="O4" s="10" t="s">
        <v>355</v>
      </c>
      <c r="P4" s="10" t="s">
        <v>356</v>
      </c>
      <c r="Q4" s="10" t="s">
        <v>357</v>
      </c>
      <c r="R4" s="10" t="s">
        <v>358</v>
      </c>
      <c r="S4" s="10" t="s">
        <v>359</v>
      </c>
      <c r="T4" s="10" t="s">
        <v>360</v>
      </c>
      <c r="U4" s="10" t="s">
        <v>362</v>
      </c>
      <c r="V4" s="10" t="s">
        <v>363</v>
      </c>
      <c r="W4" s="10" t="s">
        <v>364</v>
      </c>
      <c r="X4" s="10" t="s">
        <v>365</v>
      </c>
      <c r="Y4" s="10" t="s">
        <v>366</v>
      </c>
      <c r="Z4" s="10" t="s">
        <v>367</v>
      </c>
      <c r="AA4" s="10" t="s">
        <v>368</v>
      </c>
      <c r="AB4" s="10" t="s">
        <v>360</v>
      </c>
      <c r="AC4" s="10" t="s">
        <v>370</v>
      </c>
      <c r="AD4" s="10" t="s">
        <v>360</v>
      </c>
      <c r="AE4" s="10" t="s">
        <v>372</v>
      </c>
      <c r="AF4" s="10" t="s">
        <v>373</v>
      </c>
      <c r="AG4" s="10" t="s">
        <v>360</v>
      </c>
      <c r="AH4" s="10" t="s">
        <v>375</v>
      </c>
      <c r="AI4" s="10" t="s">
        <v>376</v>
      </c>
      <c r="AJ4" s="10" t="s">
        <v>377</v>
      </c>
      <c r="AK4" s="10" t="s">
        <v>378</v>
      </c>
      <c r="AL4" s="10" t="s">
        <v>360</v>
      </c>
      <c r="AM4" s="92"/>
      <c r="AO4" s="21" t="s">
        <v>471</v>
      </c>
      <c r="AP4" s="96"/>
    </row>
    <row r="5" spans="1:42" ht="11.25" customHeight="1" x14ac:dyDescent="0.25">
      <c r="A5" s="93" t="s">
        <v>35</v>
      </c>
      <c r="B5" s="93" t="s">
        <v>73</v>
      </c>
      <c r="C5" s="93" t="s">
        <v>25</v>
      </c>
      <c r="D5" s="93" t="s">
        <v>25</v>
      </c>
      <c r="E5" s="93" t="s">
        <v>25</v>
      </c>
      <c r="F5" s="93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1.7613420622069269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1.7613420622069269</v>
      </c>
      <c r="AC5" s="13">
        <f>'TUSD BE'!$AC$5*'TUSD BE'!$AC$58</f>
        <v>-33.317194291788802</v>
      </c>
      <c r="AD5" s="13">
        <f>SUM($AC$5:$AC$5)</f>
        <v>-33.317194291788802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-31.555852229581873</v>
      </c>
      <c r="AO5" s="20">
        <f ca="1">+'TUSD BE'!$T$5+'TUSD BE'!$AB$5+'TUSD BE'!$AD$5+'TUSD BE'!$AL$5</f>
        <v>137.92373885148962</v>
      </c>
      <c r="AP5" s="20">
        <f ca="1">+'TUSD BE'!$T$5+'TUSD BE'!$AB$5+'TUSD BE'!$AD$5+'TUSD BE'!$AL$5</f>
        <v>137.92373885148962</v>
      </c>
    </row>
    <row r="6" spans="1:42" ht="11.25" customHeight="1" x14ac:dyDescent="0.25">
      <c r="A6" s="93"/>
      <c r="B6" s="93"/>
      <c r="C6" s="93"/>
      <c r="D6" s="93"/>
      <c r="E6" s="93"/>
      <c r="F6" s="93"/>
      <c r="G6" s="18" t="s">
        <v>76</v>
      </c>
      <c r="H6" s="18" t="s">
        <v>74</v>
      </c>
      <c r="I6" s="18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0.71190912668833906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0.71190912668833906</v>
      </c>
      <c r="AC6" s="13">
        <f>'TUSD BE'!$AC$6*'TUSD BE'!$AC$58</f>
        <v>-9.3099437926699018</v>
      </c>
      <c r="AD6" s="13">
        <f>SUM($AC$6:$AC$6)</f>
        <v>-9.3099437926699018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-8.5980346659815634</v>
      </c>
      <c r="AO6" s="20">
        <f ca="1">+'TUSD BE'!$T$6+'TUSD BE'!$AB$6+'TUSD BE'!$AD$6+'TUSD BE'!$AL$6</f>
        <v>43.002872475659409</v>
      </c>
      <c r="AP6" s="20">
        <f ca="1">+'TUSD BE'!$T$6+'TUSD BE'!$AB$6+'TUSD BE'!$AD$6+'TUSD BE'!$AL$6</f>
        <v>43.002872475659409</v>
      </c>
    </row>
    <row r="7" spans="1:42" ht="11.25" customHeight="1" x14ac:dyDescent="0.25">
      <c r="A7" s="93"/>
      <c r="B7" s="93"/>
      <c r="C7" s="93"/>
      <c r="D7" s="93"/>
      <c r="E7" s="93"/>
      <c r="F7" s="93"/>
      <c r="G7" s="18" t="s">
        <v>77</v>
      </c>
      <c r="H7" s="18" t="s">
        <v>70</v>
      </c>
      <c r="I7" s="18">
        <f>'MERCADO TUSD'!$U$4</f>
        <v>0</v>
      </c>
      <c r="J7" s="15"/>
      <c r="L7" s="13">
        <f>'TUSD BE'!$L$7*'TUSD BE'!$L$58</f>
        <v>0</v>
      </c>
      <c r="M7" s="13">
        <f>'TUSD BE'!$M$7*'TUSD BE'!$M$58</f>
        <v>-1.273962363908154E-2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-0.37881462317562226</v>
      </c>
      <c r="R7" s="13">
        <f>'TUSD BE'!$R$7*'TUSD BE'!$R$58</f>
        <v>-6.8227791966222237E-2</v>
      </c>
      <c r="S7" s="13">
        <f>'TUSD BE'!$R$7*'TUSD BE'!$S$58</f>
        <v>0</v>
      </c>
      <c r="T7" s="13">
        <f ca="1">SUM($L$7:$S$7)</f>
        <v>-0.45978203878092605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-0.34739526954257199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-0.34739526954257199</v>
      </c>
      <c r="AM7" s="13">
        <f ca="1">SUMIF($L$4:$AL$4,"SUBTOTAL",$L$7:$AL$7)</f>
        <v>-0.8071773083234981</v>
      </c>
      <c r="AO7" s="20">
        <f ca="1">+'TUSD BE'!$T$7+'TUSD BE'!$AB$7+'TUSD BE'!$AD$7+'TUSD BE'!$AL$7</f>
        <v>98.253656054223299</v>
      </c>
      <c r="AP7" s="20">
        <f ca="1">+'TUSD BE'!$T$7+'TUSD BE'!$AB$7+'TUSD BE'!$AD$7+'TUSD BE'!$AL$7</f>
        <v>98.253656054223299</v>
      </c>
    </row>
    <row r="8" spans="1:42" ht="11.25" customHeight="1" x14ac:dyDescent="0.25">
      <c r="A8" s="93"/>
      <c r="B8" s="93"/>
      <c r="C8" s="93"/>
      <c r="D8" s="93"/>
      <c r="E8" s="17" t="s">
        <v>78</v>
      </c>
      <c r="F8" s="17" t="s">
        <v>25</v>
      </c>
      <c r="G8" s="18" t="s">
        <v>77</v>
      </c>
      <c r="H8" s="18" t="s">
        <v>70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-1.273962363908154E-2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-1.273962363908154E-2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-0.34739526954257199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-0.34739526954257199</v>
      </c>
      <c r="AM8" s="13">
        <f ca="1">SUMIF($L$4:$AL$4,"SUBTOTAL",$L$8:$AL$8)</f>
        <v>-0.36013489318165354</v>
      </c>
      <c r="AO8" s="20">
        <f ca="1">+'TUSD BE'!$T$8+'TUSD BE'!$AB$8+'TUSD BE'!$AD$8+'TUSD BE'!$AL$8</f>
        <v>6.0426575472642616</v>
      </c>
      <c r="AP8" s="20">
        <f ca="1">+'TUSD BE'!$T$8+'TUSD BE'!$AB$8+'TUSD BE'!$AD$8+'TUSD BE'!$AL$8</f>
        <v>6.0426575472642616</v>
      </c>
    </row>
    <row r="9" spans="1:42" ht="11.25" customHeight="1" x14ac:dyDescent="0.25">
      <c r="A9" s="93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-0.18335815430744812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-0.18335815430744812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-3.8556204250863205E-3</v>
      </c>
      <c r="AD9" s="13">
        <f>SUM($AC$9:$AC$9)</f>
        <v>-3.8556204250863205E-3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-0.18721377473253445</v>
      </c>
      <c r="AO9" s="20">
        <f ca="1">+'TUSD BE'!$T$9+'TUSD BE'!$AB$9+'TUSD BE'!$AD$9+'TUSD BE'!$AL$9</f>
        <v>12.365755897812498</v>
      </c>
      <c r="AP9" s="20">
        <f ca="1">+'TUSD BE'!$T$9+'TUSD BE'!$AB$9+'TUSD BE'!$AD$9+'TUSD BE'!$AL$9</f>
        <v>12.365755897812498</v>
      </c>
    </row>
    <row r="10" spans="1:42" ht="11.25" customHeight="1" x14ac:dyDescent="0.25">
      <c r="A10" s="93"/>
      <c r="B10" s="93" t="s">
        <v>36</v>
      </c>
      <c r="C10" s="93" t="s">
        <v>25</v>
      </c>
      <c r="D10" s="93" t="s">
        <v>25</v>
      </c>
      <c r="E10" s="93" t="s">
        <v>25</v>
      </c>
      <c r="F10" s="93" t="s">
        <v>25</v>
      </c>
      <c r="G10" s="18" t="s">
        <v>9</v>
      </c>
      <c r="H10" s="18" t="s">
        <v>74</v>
      </c>
      <c r="I10" s="18">
        <f>'MERCADO TUSD'!$U$7</f>
        <v>33489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0.71190912668833906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0.71190912668833906</v>
      </c>
      <c r="AC10" s="13">
        <f>'TUSD BE'!$AC$10*'TUSD BE'!$AC$58</f>
        <v>-9.3099437926699018</v>
      </c>
      <c r="AD10" s="13">
        <f>SUM($AC$10:$AC$10)</f>
        <v>-9.3099437926699018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-8.5980346659815634</v>
      </c>
      <c r="AO10" s="20">
        <f ca="1">+'TUSD BE'!$T$10+'TUSD BE'!$AB$10+'TUSD BE'!$AD$10+'TUSD BE'!$AL$10</f>
        <v>43.002872475659409</v>
      </c>
      <c r="AP10" s="20">
        <f ca="1">+'TUSD BE'!$T$10+'TUSD BE'!$AB$10+'TUSD BE'!$AD$10+'TUSD BE'!$AL$10</f>
        <v>43.002872475659409</v>
      </c>
    </row>
    <row r="11" spans="1:42" ht="11.25" customHeight="1" x14ac:dyDescent="0.25">
      <c r="A11" s="93"/>
      <c r="B11" s="93"/>
      <c r="C11" s="93"/>
      <c r="D11" s="93"/>
      <c r="E11" s="93"/>
      <c r="F11" s="93"/>
      <c r="G11" s="18" t="s">
        <v>71</v>
      </c>
      <c r="H11" s="18" t="s">
        <v>70</v>
      </c>
      <c r="I11" s="18">
        <f>'MERCADO TUSD'!$U$8</f>
        <v>232.29900000000001</v>
      </c>
      <c r="J11" s="15"/>
      <c r="L11" s="13">
        <f>'TUSD BE'!$L$11*'TUSD BE'!$L$58</f>
        <v>0</v>
      </c>
      <c r="M11" s="13">
        <f>'TUSD BE'!$M$11*'TUSD BE'!$M$58</f>
        <v>-1.273962363908154E-2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-0.37881462317562226</v>
      </c>
      <c r="R11" s="13">
        <f>'TUSD BE'!$R$11*'TUSD BE'!$R$58</f>
        <v>-6.8227791966222237E-2</v>
      </c>
      <c r="S11" s="13">
        <f>'TUSD BE'!$R$11*'TUSD BE'!$S$58</f>
        <v>0</v>
      </c>
      <c r="T11" s="13">
        <f ca="1">SUM($L$11:$S$11)</f>
        <v>-0.45978203878092605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42.377151193998991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42.377151193998991</v>
      </c>
      <c r="AC11" s="13">
        <f>'TUSD BE'!$AC$11*'TUSD BE'!$AC$58</f>
        <v>-801.27857400788423</v>
      </c>
      <c r="AD11" s="13">
        <f>SUM($AC$11:$AC$11)</f>
        <v>-801.27857400788423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-0.34739526954257199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-0.34739526954257199</v>
      </c>
      <c r="AM11" s="13">
        <f ca="1">SUMIF($L$4:$AL$4,"SUBTOTAL",$L$11:$AL$11)</f>
        <v>-759.70860012220874</v>
      </c>
      <c r="AO11" s="20">
        <f ca="1">+'TUSD BE'!$T$11+'TUSD BE'!$AB$11+'TUSD BE'!$AD$11+'TUSD BE'!$AL$11</f>
        <v>3415.6624257326134</v>
      </c>
      <c r="AP11" s="20">
        <f ca="1">+'TUSD BE'!$T$11+'TUSD BE'!$AB$11+'TUSD BE'!$AD$11+'TUSD BE'!$AL$11</f>
        <v>3415.6624257326134</v>
      </c>
    </row>
    <row r="12" spans="1:42" ht="11.25" customHeight="1" x14ac:dyDescent="0.25">
      <c r="A12" s="93"/>
      <c r="B12" s="93"/>
      <c r="C12" s="93"/>
      <c r="D12" s="93"/>
      <c r="E12" s="93"/>
      <c r="F12" s="93"/>
      <c r="G12" s="18" t="s">
        <v>72</v>
      </c>
      <c r="H12" s="18" t="s">
        <v>70</v>
      </c>
      <c r="I12" s="18">
        <f>'MERCADO TUSD'!$U$9</f>
        <v>7582.5569999999989</v>
      </c>
      <c r="J12" s="15"/>
      <c r="L12" s="13">
        <f>'TUSD BE'!$L$12*'TUSD BE'!$L$58</f>
        <v>0</v>
      </c>
      <c r="M12" s="13">
        <f>'TUSD BE'!$M$12*'TUSD BE'!$M$58</f>
        <v>-1.273962363908154E-2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-0.37881462317562226</v>
      </c>
      <c r="R12" s="13">
        <f>'TUSD BE'!$R$12*'TUSD BE'!$R$58</f>
        <v>-6.8227791966222237E-2</v>
      </c>
      <c r="S12" s="13">
        <f>'TUSD BE'!$R$12*'TUSD BE'!$S$58</f>
        <v>0</v>
      </c>
      <c r="T12" s="13">
        <f ca="1">SUM($L$12:$S$12)</f>
        <v>-0.45978203878092605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-0.34739526954257199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-0.34739526954257199</v>
      </c>
      <c r="AM12" s="13">
        <f ca="1">SUMIF($L$4:$AL$4,"SUBTOTAL",$L$12:$AL$12)</f>
        <v>-0.8071773083234981</v>
      </c>
      <c r="AO12" s="20">
        <f ca="1">+'TUSD BE'!$T$12+'TUSD BE'!$AB$12+'TUSD BE'!$AD$12+'TUSD BE'!$AL$12</f>
        <v>98.253656054223299</v>
      </c>
      <c r="AP12" s="20">
        <f ca="1">+'TUSD BE'!$T$12+'TUSD BE'!$AB$12+'TUSD BE'!$AD$12+'TUSD BE'!$AL$12</f>
        <v>98.253656054223299</v>
      </c>
    </row>
    <row r="13" spans="1:42" ht="11.25" customHeight="1" x14ac:dyDescent="0.25">
      <c r="A13" s="93"/>
      <c r="B13" s="93"/>
      <c r="C13" s="93"/>
      <c r="D13" s="93"/>
      <c r="E13" s="93" t="s">
        <v>78</v>
      </c>
      <c r="F13" s="93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-1.273962363908154E-2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-1.273962363908154E-2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42.377151193998991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42.377151193998991</v>
      </c>
      <c r="AC13" s="13">
        <f>'TUSD BE'!$AC$13*'TUSD BE'!$AC$58</f>
        <v>-801.27857400788423</v>
      </c>
      <c r="AD13" s="13">
        <f>SUM($AC$13:$AC$13)</f>
        <v>-801.27857400788423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-0.34739526954257199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-0.34739526954257199</v>
      </c>
      <c r="AM13" s="13">
        <f ca="1">SUMIF($L$4:$AL$4,"SUBTOTAL",$L$13:$AL$13)</f>
        <v>-759.2615577070668</v>
      </c>
      <c r="AO13" s="20">
        <f ca="1">+'TUSD BE'!$T$13+'TUSD BE'!$AB$13+'TUSD BE'!$AD$13+'TUSD BE'!$AL$13</f>
        <v>3323.4514272256542</v>
      </c>
      <c r="AP13" s="20">
        <f ca="1">+'TUSD BE'!$T$13+'TUSD BE'!$AB$13+'TUSD BE'!$AD$13+'TUSD BE'!$AL$13</f>
        <v>3323.4514272256542</v>
      </c>
    </row>
    <row r="14" spans="1:42" ht="11.25" customHeight="1" x14ac:dyDescent="0.25">
      <c r="A14" s="93"/>
      <c r="B14" s="93"/>
      <c r="C14" s="93"/>
      <c r="D14" s="93"/>
      <c r="E14" s="93"/>
      <c r="F14" s="93"/>
      <c r="G14" s="18" t="s">
        <v>72</v>
      </c>
      <c r="H14" s="18" t="s">
        <v>70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-1.273962363908154E-2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-1.273962363908154E-2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-0.34739526954257199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-0.34739526954257199</v>
      </c>
      <c r="AM14" s="13">
        <f ca="1">SUMIF($L$4:$AL$4,"SUBTOTAL",$L$14:$AL$14)</f>
        <v>-0.36013489318165354</v>
      </c>
      <c r="AO14" s="20">
        <f ca="1">+'TUSD BE'!$T$14+'TUSD BE'!$AB$14+'TUSD BE'!$AD$14+'TUSD BE'!$AL$14</f>
        <v>6.0426575472642616</v>
      </c>
      <c r="AP14" s="20">
        <f ca="1">+'TUSD BE'!$T$14+'TUSD BE'!$AB$14+'TUSD BE'!$AD$14+'TUSD BE'!$AL$14</f>
        <v>6.0426575472642616</v>
      </c>
    </row>
    <row r="15" spans="1:42" ht="11.25" customHeight="1" x14ac:dyDescent="0.25">
      <c r="A15" s="93" t="s">
        <v>80</v>
      </c>
      <c r="B15" s="93" t="s">
        <v>79</v>
      </c>
      <c r="C15" s="93" t="s">
        <v>25</v>
      </c>
      <c r="D15" s="93" t="s">
        <v>25</v>
      </c>
      <c r="E15" s="17" t="s">
        <v>81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-1.7247092703816401E-4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-1.7247092703816401E-4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-4.344470647789926</v>
      </c>
      <c r="AD15" s="13">
        <f>SUM($AC$15:$AC$15)</f>
        <v>-4.344470647789926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-4.3446431187169638</v>
      </c>
      <c r="AO15" s="20">
        <f ca="1">+'TUSD BE'!$T$15+'TUSD BE'!$AB$15+'TUSD BE'!$AD$15+'TUSD BE'!$AL$15</f>
        <v>13.332223787357682</v>
      </c>
      <c r="AP15" s="20">
        <f ca="1">+'TUSD BE'!$T$15+'TUSD BE'!$AB$15+'TUSD BE'!$AD$15+'TUSD BE'!$AL$15</f>
        <v>13.332223787357682</v>
      </c>
    </row>
    <row r="16" spans="1:42" ht="11.25" customHeight="1" x14ac:dyDescent="0.25">
      <c r="A16" s="93"/>
      <c r="B16" s="93"/>
      <c r="C16" s="93"/>
      <c r="D16" s="93"/>
      <c r="E16" s="17" t="s">
        <v>82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-1.7247092703816401E-4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-1.7247092703816401E-4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-8.8389921381781651</v>
      </c>
      <c r="AD16" s="13">
        <f>SUM($AC$16:$AC$16)</f>
        <v>-8.8389921381781651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-8.8391646091052039</v>
      </c>
      <c r="AO16" s="20">
        <f ca="1">+'TUSD BE'!$T$16+'TUSD BE'!$AB$16+'TUSD BE'!$AD$16+'TUSD BE'!$AL$16</f>
        <v>27.112898824268957</v>
      </c>
      <c r="AP16" s="20">
        <f ca="1">+'TUSD BE'!$T$16+'TUSD BE'!$AB$16+'TUSD BE'!$AD$16+'TUSD BE'!$AL$16</f>
        <v>27.112898824268957</v>
      </c>
    </row>
    <row r="17" spans="1:42" ht="11.25" customHeight="1" x14ac:dyDescent="0.25">
      <c r="A17" s="93" t="s">
        <v>22</v>
      </c>
      <c r="B17" s="93" t="s">
        <v>85</v>
      </c>
      <c r="C17" s="93" t="s">
        <v>24</v>
      </c>
      <c r="D17" s="93" t="s">
        <v>24</v>
      </c>
      <c r="E17" s="93" t="s">
        <v>25</v>
      </c>
      <c r="F17" s="93" t="s">
        <v>25</v>
      </c>
      <c r="G17" s="18" t="s">
        <v>71</v>
      </c>
      <c r="H17" s="18" t="s">
        <v>70</v>
      </c>
      <c r="I17" s="18">
        <f>'MERCADO TUSD'!$U$14</f>
        <v>0</v>
      </c>
      <c r="J17" s="15"/>
      <c r="L17" s="13">
        <f>'TUSD BE'!$L$17*'TUSD BE'!$L$58</f>
        <v>0</v>
      </c>
      <c r="M17" s="13">
        <f>'TUSD BE'!$M$17*'TUSD BE'!$M$58</f>
        <v>-2.7724935666976425E-2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-0.45096978949478844</v>
      </c>
      <c r="R17" s="13">
        <f>'TUSD BE'!$R$17*'TUSD BE'!$R$58</f>
        <v>-6.8227791966222237E-2</v>
      </c>
      <c r="S17" s="13">
        <f>'TUSD BE'!$R$17*'TUSD BE'!$S$58</f>
        <v>0</v>
      </c>
      <c r="T17" s="13">
        <f ca="1">SUM($L$17:$S$17)</f>
        <v>-0.54692251712798712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15.514554751032094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15.514554751032094</v>
      </c>
      <c r="AC17" s="13">
        <f>'TUSD BE'!$AC$17*'TUSD BE'!$AC$58</f>
        <v>-374.38067253055283</v>
      </c>
      <c r="AD17" s="13">
        <f>SUM($AC$17:$AC$17)</f>
        <v>-374.38067253055283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-0.8997572346732049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-0.8997572346732049</v>
      </c>
      <c r="AM17" s="13">
        <f ca="1">SUMIF($L$4:$AL$4,"SUBTOTAL",$L$17:$AL$17)</f>
        <v>-360.31279753132191</v>
      </c>
      <c r="AO17" s="20">
        <f ca="1">+'TUSD BE'!$T$17+'TUSD BE'!$AB$17+'TUSD BE'!$AD$17+'TUSD BE'!$AL$17</f>
        <v>1585.2547204942389</v>
      </c>
      <c r="AP17" s="20">
        <f ca="1">+'TUSD BE'!$T$17+'TUSD BE'!$AB$17+'TUSD BE'!$AD$17+'TUSD BE'!$AL$17</f>
        <v>1585.2547204942389</v>
      </c>
    </row>
    <row r="18" spans="1:42" ht="11.25" customHeight="1" x14ac:dyDescent="0.25">
      <c r="A18" s="93"/>
      <c r="B18" s="93"/>
      <c r="C18" s="93"/>
      <c r="D18" s="93"/>
      <c r="E18" s="93"/>
      <c r="F18" s="93"/>
      <c r="G18" s="18" t="s">
        <v>83</v>
      </c>
      <c r="H18" s="18" t="s">
        <v>70</v>
      </c>
      <c r="I18" s="18">
        <f>'MERCADO TUSD'!$U$15</f>
        <v>0</v>
      </c>
      <c r="J18" s="15"/>
      <c r="L18" s="13">
        <f>'TUSD BE'!$L$18*'TUSD BE'!$L$58</f>
        <v>0</v>
      </c>
      <c r="M18" s="13">
        <f>'TUSD BE'!$M$18*'TUSD BE'!$M$58</f>
        <v>-2.7724935666976425E-2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-0.45096978949478844</v>
      </c>
      <c r="R18" s="13">
        <f>'TUSD BE'!$R$18*'TUSD BE'!$R$58</f>
        <v>-6.8227791966222237E-2</v>
      </c>
      <c r="S18" s="13">
        <f>'TUSD BE'!$R$18*'TUSD BE'!$S$58</f>
        <v>0</v>
      </c>
      <c r="T18" s="13">
        <f ca="1">SUM($L$18:$S$18)</f>
        <v>-0.54692251712798712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9.3087360356574784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9.3087360356574784</v>
      </c>
      <c r="AC18" s="13">
        <f>'TUSD BE'!$AC$18*'TUSD BE'!$AC$58</f>
        <v>-224.62851671085798</v>
      </c>
      <c r="AD18" s="13">
        <f>SUM($AC$18:$AC$18)</f>
        <v>-224.62851671085798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-0.8997572346732049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-0.8997572346732049</v>
      </c>
      <c r="AM18" s="13">
        <f ca="1">SUMIF($L$4:$AL$4,"SUBTOTAL",$L$18:$AL$18)</f>
        <v>-216.7664604270017</v>
      </c>
      <c r="AO18" s="20">
        <f ca="1">+'TUSD BE'!$T$18+'TUSD BE'!$AB$18+'TUSD BE'!$AD$18+'TUSD BE'!$AL$18</f>
        <v>1000.0697507669034</v>
      </c>
      <c r="AP18" s="20">
        <f ca="1">+'TUSD BE'!$T$18+'TUSD BE'!$AB$18+'TUSD BE'!$AD$18+'TUSD BE'!$AL$18</f>
        <v>1000.0697507669034</v>
      </c>
    </row>
    <row r="19" spans="1:42" ht="11.25" customHeight="1" x14ac:dyDescent="0.25">
      <c r="A19" s="93"/>
      <c r="B19" s="93"/>
      <c r="C19" s="93"/>
      <c r="D19" s="93"/>
      <c r="E19" s="93"/>
      <c r="F19" s="93"/>
      <c r="G19" s="18" t="s">
        <v>72</v>
      </c>
      <c r="H19" s="18" t="s">
        <v>70</v>
      </c>
      <c r="I19" s="18">
        <f>'MERCADO TUSD'!$U$16</f>
        <v>0</v>
      </c>
      <c r="J19" s="15"/>
      <c r="L19" s="13">
        <f>'TUSD BE'!$L$19*'TUSD BE'!$L$58</f>
        <v>0</v>
      </c>
      <c r="M19" s="13">
        <f>'TUSD BE'!$M$19*'TUSD BE'!$M$58</f>
        <v>-2.7724935666976425E-2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-0.45096978949478844</v>
      </c>
      <c r="R19" s="13">
        <f>'TUSD BE'!$R$19*'TUSD BE'!$R$58</f>
        <v>-6.8227791966222237E-2</v>
      </c>
      <c r="S19" s="13">
        <f>'TUSD BE'!$R$19*'TUSD BE'!$S$58</f>
        <v>0</v>
      </c>
      <c r="T19" s="13">
        <f ca="1">SUM($L$19:$S$19)</f>
        <v>-0.54692251712798712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3.1057466959038087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3.1057466959038087</v>
      </c>
      <c r="AC19" s="13">
        <f>'TUSD BE'!$AC$19*'TUSD BE'!$AC$58</f>
        <v>-74.876077909847439</v>
      </c>
      <c r="AD19" s="13">
        <f>SUM($AC$19:$AC$19)</f>
        <v>-74.876077909847439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-0.8997572346732049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-0.8997572346732049</v>
      </c>
      <c r="AM19" s="13">
        <f ca="1">SUMIF($L$4:$AL$4,"SUBTOTAL",$L$19:$AL$19)</f>
        <v>-73.217010965744819</v>
      </c>
      <c r="AO19" s="20">
        <f ca="1">+'TUSD BE'!$T$19+'TUSD BE'!$AB$19+'TUSD BE'!$AD$19+'TUSD BE'!$AL$19</f>
        <v>414.94137297025827</v>
      </c>
      <c r="AP19" s="20">
        <f ca="1">+'TUSD BE'!$T$19+'TUSD BE'!$AB$19+'TUSD BE'!$AD$19+'TUSD BE'!$AL$19</f>
        <v>414.94137297025827</v>
      </c>
    </row>
    <row r="20" spans="1:42" ht="11.25" customHeight="1" x14ac:dyDescent="0.25">
      <c r="A20" s="93"/>
      <c r="B20" s="93" t="s">
        <v>23</v>
      </c>
      <c r="C20" s="93" t="s">
        <v>24</v>
      </c>
      <c r="D20" s="17" t="s">
        <v>24</v>
      </c>
      <c r="E20" s="17" t="s">
        <v>25</v>
      </c>
      <c r="F20" s="17" t="s">
        <v>25</v>
      </c>
      <c r="G20" s="18" t="s">
        <v>77</v>
      </c>
      <c r="H20" s="18" t="s">
        <v>70</v>
      </c>
      <c r="I20" s="18">
        <f>'MERCADO TUSD'!$U$17</f>
        <v>10122.061</v>
      </c>
      <c r="J20" s="15"/>
      <c r="L20" s="13">
        <f>'TUSD BE'!$L$20*'TUSD BE'!$L$58</f>
        <v>0</v>
      </c>
      <c r="M20" s="13">
        <f>'TUSD BE'!$M$20*'TUSD BE'!$M$58</f>
        <v>-2.7724935666976425E-2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-0.45096978949478844</v>
      </c>
      <c r="R20" s="13">
        <f>'TUSD BE'!$R$20*'TUSD BE'!$R$58</f>
        <v>-6.8227791966222237E-2</v>
      </c>
      <c r="S20" s="13">
        <f>'TUSD BE'!$R$20*'TUSD BE'!$S$58</f>
        <v>0</v>
      </c>
      <c r="T20" s="13">
        <f ca="1">SUM($L$20:$S$20)</f>
        <v>-0.54692251712798712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5.7435051089887068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5.7435051089887068</v>
      </c>
      <c r="AC20" s="13">
        <f>'TUSD BE'!$AC$20*'TUSD BE'!$AC$58</f>
        <v>-138.65957122938599</v>
      </c>
      <c r="AD20" s="13">
        <f>SUM($AC$20:$AC$20)</f>
        <v>-138.65957122938599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-0.8997572346732049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-0.8997572346732049</v>
      </c>
      <c r="AM20" s="13">
        <f ca="1">SUMIF($L$4:$AL$4,"SUBTOTAL",$L$20:$AL$20)</f>
        <v>-134.36274587219847</v>
      </c>
      <c r="AO20" s="20">
        <f ca="1">+'TUSD BE'!$T$20+'TUSD BE'!$AB$20+'TUSD BE'!$AD$20+'TUSD BE'!$AL$20</f>
        <v>664.0764407300062</v>
      </c>
      <c r="AP20" s="20">
        <f ca="1">+'TUSD BE'!$T$20+'TUSD BE'!$AB$20+'TUSD BE'!$AD$20+'TUSD BE'!$AL$20</f>
        <v>664.0764407300062</v>
      </c>
    </row>
    <row r="21" spans="1:42" ht="11.25" customHeight="1" x14ac:dyDescent="0.25">
      <c r="A21" s="93"/>
      <c r="B21" s="93"/>
      <c r="C21" s="93"/>
      <c r="D21" s="17" t="s">
        <v>29</v>
      </c>
      <c r="E21" s="17" t="s">
        <v>25</v>
      </c>
      <c r="F21" s="17" t="s">
        <v>25</v>
      </c>
      <c r="G21" s="18" t="s">
        <v>77</v>
      </c>
      <c r="H21" s="18" t="s">
        <v>70</v>
      </c>
      <c r="I21" s="18">
        <f>'MERCADO TUSD'!$U$18</f>
        <v>111.12200000000001</v>
      </c>
      <c r="J21" s="15"/>
      <c r="L21" s="13">
        <f>'TUSD BE'!$L$21*'TUSD BE'!$L$58</f>
        <v>0</v>
      </c>
      <c r="M21" s="13">
        <f>'TUSD BE'!$M$21*'TUSD BE'!$M$58</f>
        <v>-2.7724935666976425E-2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-2.7724935666976425E-2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5.7435051089887068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5.7435051089887068</v>
      </c>
      <c r="AC21" s="13">
        <f>'TUSD BE'!$AC$21*'TUSD BE'!$AC$58</f>
        <v>-138.65957122938599</v>
      </c>
      <c r="AD21" s="13">
        <f>SUM($AC$21:$AC$21)</f>
        <v>-138.65957122938599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-0.8997572346732049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-0.8997572346732049</v>
      </c>
      <c r="AM21" s="13">
        <f ca="1">SUMIF($L$4:$AL$4,"SUBTOTAL",$L$21:$AL$21)</f>
        <v>-133.84354829073749</v>
      </c>
      <c r="AO21" s="20">
        <f ca="1">+'TUSD BE'!$T$21+'TUSD BE'!$AB$21+'TUSD BE'!$AD$21+'TUSD BE'!$AL$21</f>
        <v>557.08059114891046</v>
      </c>
      <c r="AP21" s="20">
        <f ca="1">+'TUSD BE'!$T$21+'TUSD BE'!$AB$21+'TUSD BE'!$AD$21+'TUSD BE'!$AL$21</f>
        <v>557.08059114891046</v>
      </c>
    </row>
    <row r="22" spans="1:42" ht="11.25" customHeight="1" x14ac:dyDescent="0.25">
      <c r="A22" s="93"/>
      <c r="B22" s="93"/>
      <c r="C22" s="93"/>
      <c r="D22" s="17" t="s">
        <v>30</v>
      </c>
      <c r="E22" s="17" t="s">
        <v>25</v>
      </c>
      <c r="F22" s="17" t="s">
        <v>25</v>
      </c>
      <c r="G22" s="18" t="s">
        <v>77</v>
      </c>
      <c r="H22" s="18" t="s">
        <v>70</v>
      </c>
      <c r="I22" s="18">
        <f>'MERCADO TUSD'!$U$19</f>
        <v>223.66</v>
      </c>
      <c r="J22" s="15"/>
      <c r="L22" s="13">
        <f>'TUSD BE'!$L$22*'TUSD BE'!$L$58</f>
        <v>0</v>
      </c>
      <c r="M22" s="13">
        <f>'TUSD BE'!$M$22*'TUSD BE'!$M$58</f>
        <v>-2.7724935666976425E-2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-2.7724935666976425E-2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5.7435051089887068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5.7435051089887068</v>
      </c>
      <c r="AC22" s="13">
        <f>'TUSD BE'!$AC$22*'TUSD BE'!$AC$58</f>
        <v>-138.65957122938599</v>
      </c>
      <c r="AD22" s="13">
        <f>SUM($AC$22:$AC$22)</f>
        <v>-138.65957122938599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-0.8997572346732049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-0.8997572346732049</v>
      </c>
      <c r="AM22" s="13">
        <f ca="1">SUMIF($L$4:$AL$4,"SUBTOTAL",$L$22:$AL$22)</f>
        <v>-133.84354829073749</v>
      </c>
      <c r="AO22" s="20">
        <f ca="1">+'TUSD BE'!$T$22+'TUSD BE'!$AB$22+'TUSD BE'!$AD$22+'TUSD BE'!$AL$22</f>
        <v>557.08059114891046</v>
      </c>
      <c r="AP22" s="20">
        <f ca="1">+'TUSD BE'!$T$22+'TUSD BE'!$AB$22+'TUSD BE'!$AD$22+'TUSD BE'!$AL$22</f>
        <v>557.08059114891046</v>
      </c>
    </row>
    <row r="23" spans="1:42" ht="11.25" customHeight="1" x14ac:dyDescent="0.25">
      <c r="A23" s="93"/>
      <c r="B23" s="93"/>
      <c r="C23" s="93"/>
      <c r="D23" s="17" t="s">
        <v>31</v>
      </c>
      <c r="E23" s="17" t="s">
        <v>25</v>
      </c>
      <c r="F23" s="17" t="s">
        <v>25</v>
      </c>
      <c r="G23" s="18" t="s">
        <v>77</v>
      </c>
      <c r="H23" s="18" t="s">
        <v>70</v>
      </c>
      <c r="I23" s="18">
        <f>'MERCADO TUSD'!$U$20</f>
        <v>229.345</v>
      </c>
      <c r="J23" s="15"/>
      <c r="L23" s="13">
        <f>'TUSD BE'!$L$23*'TUSD BE'!$L$58</f>
        <v>0</v>
      </c>
      <c r="M23" s="13">
        <f>'TUSD BE'!$M$23*'TUSD BE'!$M$58</f>
        <v>-2.7724935666976425E-2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-2.7724935666976425E-2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5.7435051089887068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5.7435051089887068</v>
      </c>
      <c r="AC23" s="13">
        <f>'TUSD BE'!$AC$23*'TUSD BE'!$AC$58</f>
        <v>-138.65957122938599</v>
      </c>
      <c r="AD23" s="13">
        <f>SUM($AC$23:$AC$23)</f>
        <v>-138.65957122938599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-0.8997572346732049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-0.8997572346732049</v>
      </c>
      <c r="AM23" s="13">
        <f ca="1">SUMIF($L$4:$AL$4,"SUBTOTAL",$L$23:$AL$23)</f>
        <v>-133.84354829073749</v>
      </c>
      <c r="AO23" s="20">
        <f ca="1">+'TUSD BE'!$T$23+'TUSD BE'!$AB$23+'TUSD BE'!$AD$23+'TUSD BE'!$AL$23</f>
        <v>557.08059114891046</v>
      </c>
      <c r="AP23" s="20">
        <f ca="1">+'TUSD BE'!$T$23+'TUSD BE'!$AB$23+'TUSD BE'!$AD$23+'TUSD BE'!$AL$23</f>
        <v>557.08059114891046</v>
      </c>
    </row>
    <row r="24" spans="1:42" ht="11.25" customHeight="1" x14ac:dyDescent="0.25">
      <c r="A24" s="93"/>
      <c r="B24" s="93"/>
      <c r="C24" s="93"/>
      <c r="D24" s="17" t="s">
        <v>32</v>
      </c>
      <c r="E24" s="17" t="s">
        <v>25</v>
      </c>
      <c r="F24" s="17" t="s">
        <v>25</v>
      </c>
      <c r="G24" s="18" t="s">
        <v>77</v>
      </c>
      <c r="H24" s="18" t="s">
        <v>70</v>
      </c>
      <c r="I24" s="18">
        <f>'MERCADO TUSD'!$U$21</f>
        <v>103.19500000000001</v>
      </c>
      <c r="J24" s="15"/>
      <c r="L24" s="13">
        <f>'TUSD BE'!$L$24*'TUSD BE'!$L$58</f>
        <v>0</v>
      </c>
      <c r="M24" s="13">
        <f>'TUSD BE'!$M$24*'TUSD BE'!$M$58</f>
        <v>-2.7724935666976425E-2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-2.7724935666976425E-2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5.7435051089887068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5.7435051089887068</v>
      </c>
      <c r="AC24" s="13">
        <f>'TUSD BE'!$AC$24*'TUSD BE'!$AC$58</f>
        <v>-138.65957122938599</v>
      </c>
      <c r="AD24" s="13">
        <f>SUM($AC$24:$AC$24)</f>
        <v>-138.65957122938599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-0.8997572346732049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-0.8997572346732049</v>
      </c>
      <c r="AM24" s="13">
        <f ca="1">SUMIF($L$4:$AL$4,"SUBTOTAL",$L$24:$AL$24)</f>
        <v>-133.84354829073749</v>
      </c>
      <c r="AO24" s="20">
        <f ca="1">+'TUSD BE'!$T$24+'TUSD BE'!$AB$24+'TUSD BE'!$AD$24+'TUSD BE'!$AL$24</f>
        <v>557.08059114891046</v>
      </c>
      <c r="AP24" s="20">
        <f ca="1">+'TUSD BE'!$T$24+'TUSD BE'!$AB$24+'TUSD BE'!$AD$24+'TUSD BE'!$AL$24</f>
        <v>557.08059114891046</v>
      </c>
    </row>
    <row r="25" spans="1:42" ht="11.25" customHeight="1" x14ac:dyDescent="0.25">
      <c r="A25" s="93"/>
      <c r="B25" s="93" t="s">
        <v>87</v>
      </c>
      <c r="C25" s="93" t="s">
        <v>24</v>
      </c>
      <c r="D25" s="17" t="s">
        <v>24</v>
      </c>
      <c r="E25" s="17" t="s">
        <v>25</v>
      </c>
      <c r="F25" s="17" t="s">
        <v>25</v>
      </c>
      <c r="G25" s="18" t="s">
        <v>77</v>
      </c>
      <c r="H25" s="18" t="s">
        <v>70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-2.7724935666976425E-2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-0.45096978949478844</v>
      </c>
      <c r="R25" s="13">
        <f>'TUSD BE'!$R$25*'TUSD BE'!$R$58</f>
        <v>-6.8227791966222237E-2</v>
      </c>
      <c r="S25" s="13">
        <f>'TUSD BE'!$R$25*'TUSD BE'!$S$58</f>
        <v>0</v>
      </c>
      <c r="T25" s="13">
        <f ca="1">SUM($L$25:$S$25)</f>
        <v>-0.54692251712798712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5.7435051089887068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5.7435051089887068</v>
      </c>
      <c r="AC25" s="13">
        <f>'TUSD BE'!$AC$25*'TUSD BE'!$AC$58</f>
        <v>-138.65957122938599</v>
      </c>
      <c r="AD25" s="13">
        <f>SUM($AC$25:$AC$25)</f>
        <v>-138.65957122938599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-0.8997572346732049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-0.8997572346732049</v>
      </c>
      <c r="AM25" s="13">
        <f ca="1">SUMIF($L$4:$AL$4,"SUBTOTAL",$L$25:$AL$25)</f>
        <v>-134.36274587219847</v>
      </c>
      <c r="AO25" s="20">
        <f ca="1">+'TUSD BE'!$T$25+'TUSD BE'!$AB$25+'TUSD BE'!$AD$25+'TUSD BE'!$AL$25</f>
        <v>664.0764407300062</v>
      </c>
      <c r="AP25" s="20">
        <f ca="1">+'TUSD BE'!$T$25+'TUSD BE'!$AB$25+'TUSD BE'!$AD$25+'TUSD BE'!$AL$25</f>
        <v>664.0764407300062</v>
      </c>
    </row>
    <row r="26" spans="1:42" ht="11.25" customHeight="1" x14ac:dyDescent="0.25">
      <c r="A26" s="93"/>
      <c r="B26" s="93"/>
      <c r="C26" s="93"/>
      <c r="D26" s="17" t="s">
        <v>29</v>
      </c>
      <c r="E26" s="17" t="s">
        <v>25</v>
      </c>
      <c r="F26" s="17" t="s">
        <v>25</v>
      </c>
      <c r="G26" s="18" t="s">
        <v>77</v>
      </c>
      <c r="H26" s="18" t="s">
        <v>70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-2.7724935666976425E-2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-2.7724935666976425E-2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5.7435051089887068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5.7435051089887068</v>
      </c>
      <c r="AC26" s="13">
        <f>'TUSD BE'!$AC$26*'TUSD BE'!$AC$58</f>
        <v>-138.65957122938599</v>
      </c>
      <c r="AD26" s="13">
        <f>SUM($AC$26:$AC$26)</f>
        <v>-138.65957122938599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-0.8997572346732049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-0.8997572346732049</v>
      </c>
      <c r="AM26" s="13">
        <f ca="1">SUMIF($L$4:$AL$4,"SUBTOTAL",$L$26:$AL$26)</f>
        <v>-133.84354829073749</v>
      </c>
      <c r="AO26" s="20">
        <f ca="1">+'TUSD BE'!$T$26+'TUSD BE'!$AB$26+'TUSD BE'!$AD$26+'TUSD BE'!$AL$26</f>
        <v>557.08059114891046</v>
      </c>
      <c r="AP26" s="20">
        <f ca="1">+'TUSD BE'!$T$26+'TUSD BE'!$AB$26+'TUSD BE'!$AD$26+'TUSD BE'!$AL$26</f>
        <v>557.08059114891046</v>
      </c>
    </row>
    <row r="27" spans="1:42" ht="11.25" customHeight="1" x14ac:dyDescent="0.25">
      <c r="A27" s="93"/>
      <c r="B27" s="93"/>
      <c r="C27" s="93"/>
      <c r="D27" s="17" t="s">
        <v>30</v>
      </c>
      <c r="E27" s="17" t="s">
        <v>25</v>
      </c>
      <c r="F27" s="17" t="s">
        <v>25</v>
      </c>
      <c r="G27" s="18" t="s">
        <v>77</v>
      </c>
      <c r="H27" s="18" t="s">
        <v>70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-2.7724935666976425E-2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-2.7724935666976425E-2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5.7435051089887068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5.7435051089887068</v>
      </c>
      <c r="AC27" s="13">
        <f>'TUSD BE'!$AC$27*'TUSD BE'!$AC$58</f>
        <v>-138.65957122938599</v>
      </c>
      <c r="AD27" s="13">
        <f>SUM($AC$27:$AC$27)</f>
        <v>-138.65957122938599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-0.8997572346732049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-0.8997572346732049</v>
      </c>
      <c r="AM27" s="13">
        <f ca="1">SUMIF($L$4:$AL$4,"SUBTOTAL",$L$27:$AL$27)</f>
        <v>-133.84354829073749</v>
      </c>
      <c r="AO27" s="20">
        <f ca="1">+'TUSD BE'!$T$27+'TUSD BE'!$AB$27+'TUSD BE'!$AD$27+'TUSD BE'!$AL$27</f>
        <v>557.08059114891046</v>
      </c>
      <c r="AP27" s="20">
        <f ca="1">+'TUSD BE'!$T$27+'TUSD BE'!$AB$27+'TUSD BE'!$AD$27+'TUSD BE'!$AL$27</f>
        <v>557.08059114891046</v>
      </c>
    </row>
    <row r="28" spans="1:42" ht="11.25" customHeight="1" x14ac:dyDescent="0.25">
      <c r="A28" s="93"/>
      <c r="B28" s="93"/>
      <c r="C28" s="93"/>
      <c r="D28" s="17" t="s">
        <v>31</v>
      </c>
      <c r="E28" s="17" t="s">
        <v>25</v>
      </c>
      <c r="F28" s="17" t="s">
        <v>25</v>
      </c>
      <c r="G28" s="18" t="s">
        <v>77</v>
      </c>
      <c r="H28" s="18" t="s">
        <v>70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-2.7724935666976425E-2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-2.7724935666976425E-2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5.7435051089887068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5.7435051089887068</v>
      </c>
      <c r="AC28" s="13">
        <f>'TUSD BE'!$AC$28*'TUSD BE'!$AC$58</f>
        <v>-138.65957122938599</v>
      </c>
      <c r="AD28" s="13">
        <f>SUM($AC$28:$AC$28)</f>
        <v>-138.65957122938599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-0.8997572346732049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-0.8997572346732049</v>
      </c>
      <c r="AM28" s="13">
        <f ca="1">SUMIF($L$4:$AL$4,"SUBTOTAL",$L$28:$AL$28)</f>
        <v>-133.84354829073749</v>
      </c>
      <c r="AO28" s="20">
        <f ca="1">+'TUSD BE'!$T$28+'TUSD BE'!$AB$28+'TUSD BE'!$AD$28+'TUSD BE'!$AL$28</f>
        <v>557.08059114891046</v>
      </c>
      <c r="AP28" s="20">
        <f ca="1">+'TUSD BE'!$T$28+'TUSD BE'!$AB$28+'TUSD BE'!$AD$28+'TUSD BE'!$AL$28</f>
        <v>557.08059114891046</v>
      </c>
    </row>
    <row r="29" spans="1:42" ht="11.25" customHeight="1" x14ac:dyDescent="0.25">
      <c r="A29" s="93"/>
      <c r="B29" s="93"/>
      <c r="C29" s="93"/>
      <c r="D29" s="17" t="s">
        <v>32</v>
      </c>
      <c r="E29" s="17" t="s">
        <v>25</v>
      </c>
      <c r="F29" s="17" t="s">
        <v>25</v>
      </c>
      <c r="G29" s="18" t="s">
        <v>77</v>
      </c>
      <c r="H29" s="18" t="s">
        <v>70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-2.7724935666976425E-2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-2.7724935666976425E-2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5.7435051089887068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5.7435051089887068</v>
      </c>
      <c r="AC29" s="13">
        <f>'TUSD BE'!$AC$29*'TUSD BE'!$AC$58</f>
        <v>-138.65957122938599</v>
      </c>
      <c r="AD29" s="13">
        <f>SUM($AC$29:$AC$29)</f>
        <v>-138.65957122938599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-0.8997572346732049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-0.8997572346732049</v>
      </c>
      <c r="AM29" s="13">
        <f ca="1">SUMIF($L$4:$AL$4,"SUBTOTAL",$L$29:$AL$29)</f>
        <v>-133.84354829073749</v>
      </c>
      <c r="AO29" s="20">
        <f ca="1">+'TUSD BE'!$T$29+'TUSD BE'!$AB$29+'TUSD BE'!$AD$29+'TUSD BE'!$AL$29</f>
        <v>557.08059114891046</v>
      </c>
      <c r="AP29" s="20">
        <f ca="1">+'TUSD BE'!$T$29+'TUSD BE'!$AB$29+'TUSD BE'!$AD$29+'TUSD BE'!$AL$29</f>
        <v>557.08059114891046</v>
      </c>
    </row>
    <row r="30" spans="1:42" ht="11.25" customHeight="1" x14ac:dyDescent="0.25">
      <c r="A30" s="93" t="s">
        <v>40</v>
      </c>
      <c r="B30" s="93" t="s">
        <v>85</v>
      </c>
      <c r="C30" s="93" t="s">
        <v>41</v>
      </c>
      <c r="D30" s="93" t="s">
        <v>25</v>
      </c>
      <c r="E30" s="93" t="s">
        <v>25</v>
      </c>
      <c r="F30" s="93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-2.7724935666976425E-2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-0.45096978949478844</v>
      </c>
      <c r="R30" s="13">
        <f>'TUSD BE'!$R$30*'TUSD BE'!$R$58</f>
        <v>-6.8227791966222237E-2</v>
      </c>
      <c r="S30" s="13">
        <f>'TUSD BE'!$R$30*'TUSD BE'!$S$58</f>
        <v>0</v>
      </c>
      <c r="T30" s="13">
        <f ca="1">SUM($L$30:$S$30)</f>
        <v>-0.54692251712798712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19.820062878157174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19.820062878157174</v>
      </c>
      <c r="AC30" s="13">
        <f>'TUSD BE'!$AC$30*'TUSD BE'!$AC$58</f>
        <v>-409.04563608322832</v>
      </c>
      <c r="AD30" s="13">
        <f>SUM($AC$30:$AC$30)</f>
        <v>-409.04563608322832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-0.8997572346732049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-0.8997572346732049</v>
      </c>
      <c r="AM30" s="13">
        <f ca="1">SUMIF($L$4:$AL$4,"SUBTOTAL",$L$30:$AL$30)</f>
        <v>-390.67225295687234</v>
      </c>
      <c r="AO30" s="20">
        <f ca="1">+'TUSD BE'!$T$30+'TUSD BE'!$AB$30+'TUSD BE'!$AD$30+'TUSD BE'!$AL$30</f>
        <v>1778.9783443488288</v>
      </c>
      <c r="AP30" s="20">
        <f ca="1">+'TUSD BE'!$T$30+'TUSD BE'!$AB$30+'TUSD BE'!$AD$30+'TUSD BE'!$AL$30</f>
        <v>1778.9783443488288</v>
      </c>
    </row>
    <row r="31" spans="1:42" ht="11.25" customHeight="1" x14ac:dyDescent="0.25">
      <c r="A31" s="93"/>
      <c r="B31" s="93"/>
      <c r="C31" s="93"/>
      <c r="D31" s="93"/>
      <c r="E31" s="93"/>
      <c r="F31" s="93"/>
      <c r="G31" s="18" t="s">
        <v>83</v>
      </c>
      <c r="H31" s="18" t="s">
        <v>70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-2.7724935666976425E-2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-0.45096978949478844</v>
      </c>
      <c r="R31" s="13">
        <f>'TUSD BE'!$R$31*'TUSD BE'!$R$58</f>
        <v>-6.8227791966222237E-2</v>
      </c>
      <c r="S31" s="13">
        <f>'TUSD BE'!$R$31*'TUSD BE'!$S$58</f>
        <v>0</v>
      </c>
      <c r="T31" s="13">
        <f ca="1">SUM($L$31:$S$31)</f>
        <v>-0.54692251712798712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11.889763609603474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11.889763609603474</v>
      </c>
      <c r="AC31" s="13">
        <f>'TUSD BE'!$AC$31*'TUSD BE'!$AC$58</f>
        <v>-245.42732505367383</v>
      </c>
      <c r="AD31" s="13">
        <f>SUM($AC$31:$AC$31)</f>
        <v>-245.42732505367383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-0.8997572346732049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-0.8997572346732049</v>
      </c>
      <c r="AM31" s="13">
        <f ca="1">SUMIF($L$4:$AL$4,"SUBTOTAL",$L$31:$AL$31)</f>
        <v>-234.98424119587156</v>
      </c>
      <c r="AO31" s="20">
        <f ca="1">+'TUSD BE'!$T$31+'TUSD BE'!$AB$31+'TUSD BE'!$AD$31+'TUSD BE'!$AL$31</f>
        <v>1116.257156533848</v>
      </c>
      <c r="AP31" s="20">
        <f ca="1">+'TUSD BE'!$T$31+'TUSD BE'!$AB$31+'TUSD BE'!$AD$31+'TUSD BE'!$AL$31</f>
        <v>1116.257156533848</v>
      </c>
    </row>
    <row r="32" spans="1:42" ht="11.25" customHeight="1" x14ac:dyDescent="0.25">
      <c r="A32" s="93"/>
      <c r="B32" s="93"/>
      <c r="C32" s="93"/>
      <c r="D32" s="93"/>
      <c r="E32" s="93"/>
      <c r="F32" s="93"/>
      <c r="G32" s="18" t="s">
        <v>72</v>
      </c>
      <c r="H32" s="18" t="s">
        <v>70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-2.7724935666976425E-2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-0.45096978949478844</v>
      </c>
      <c r="R32" s="13">
        <f>'TUSD BE'!$R$32*'TUSD BE'!$R$58</f>
        <v>-6.8227791966222237E-2</v>
      </c>
      <c r="S32" s="13">
        <f>'TUSD BE'!$R$32*'TUSD BE'!$S$58</f>
        <v>0</v>
      </c>
      <c r="T32" s="13">
        <f ca="1">SUM($L$32:$S$32)</f>
        <v>-0.54692251712798712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3.9623096418618311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3.9623096418618311</v>
      </c>
      <c r="AC32" s="13">
        <f>'TUSD BE'!$AC$32*'TUSD BE'!$AC$58</f>
        <v>-81.809084769448319</v>
      </c>
      <c r="AD32" s="13">
        <f>SUM($AC$32:$AC$32)</f>
        <v>-81.809084769448319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-0.8997572346732049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-0.8997572346732049</v>
      </c>
      <c r="AM32" s="13">
        <f ca="1">SUMIF($L$4:$AL$4,"SUBTOTAL",$L$32:$AL$32)</f>
        <v>-79.293454879387681</v>
      </c>
      <c r="AO32" s="20">
        <f ca="1">+'TUSD BE'!$T$32+'TUSD BE'!$AB$32+'TUSD BE'!$AD$32+'TUSD BE'!$AL$32</f>
        <v>453.59396862488541</v>
      </c>
      <c r="AP32" s="20">
        <f ca="1">+'TUSD BE'!$T$32+'TUSD BE'!$AB$32+'TUSD BE'!$AD$32+'TUSD BE'!$AL$32</f>
        <v>453.59396862488541</v>
      </c>
    </row>
    <row r="33" spans="1:42" ht="11.25" customHeight="1" x14ac:dyDescent="0.25">
      <c r="A33" s="93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77</v>
      </c>
      <c r="H33" s="18" t="s">
        <v>70</v>
      </c>
      <c r="I33" s="18">
        <f>'MERCADO TUSD'!$U$30</f>
        <v>3283.42</v>
      </c>
      <c r="J33" s="15"/>
      <c r="L33" s="13">
        <f>'TUSD BE'!$L$33*'TUSD BE'!$L$58</f>
        <v>0</v>
      </c>
      <c r="M33" s="13">
        <f>'TUSD BE'!$M$33*'TUSD BE'!$M$58</f>
        <v>-2.7724935666976425E-2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-0.45096978949478844</v>
      </c>
      <c r="R33" s="13">
        <f>'TUSD BE'!$R$33*'TUSD BE'!$R$58</f>
        <v>-6.8227791966222237E-2</v>
      </c>
      <c r="S33" s="13">
        <f>'TUSD BE'!$R$33*'TUSD BE'!$S$58</f>
        <v>0</v>
      </c>
      <c r="T33" s="13">
        <f ca="1">SUM($L$33:$S$33)</f>
        <v>-0.54692251712798712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5.7435051089887068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5.7435051089887068</v>
      </c>
      <c r="AC33" s="13">
        <f>'TUSD BE'!$AC$33*'TUSD BE'!$AC$58</f>
        <v>-138.65957122938599</v>
      </c>
      <c r="AD33" s="13">
        <f>SUM($AC$33:$AC$33)</f>
        <v>-138.65957122938599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-0.8997572346732049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-0.8997572346732049</v>
      </c>
      <c r="AM33" s="13">
        <f ca="1">SUMIF($L$4:$AL$4,"SUBTOTAL",$L$33:$AL$33)</f>
        <v>-134.36274587219847</v>
      </c>
      <c r="AO33" s="20">
        <f ca="1">+'TUSD BE'!$T$33+'TUSD BE'!$AB$33+'TUSD BE'!$AD$33+'TUSD BE'!$AL$33</f>
        <v>664.0764407300062</v>
      </c>
      <c r="AP33" s="20">
        <f ca="1">+'TUSD BE'!$T$33+'TUSD BE'!$AB$33+'TUSD BE'!$AD$33+'TUSD BE'!$AL$33</f>
        <v>664.0764407300062</v>
      </c>
    </row>
    <row r="34" spans="1:42" ht="11.25" customHeight="1" x14ac:dyDescent="0.25">
      <c r="A34" s="93"/>
      <c r="B34" s="93" t="s">
        <v>85</v>
      </c>
      <c r="C34" s="93" t="s">
        <v>41</v>
      </c>
      <c r="D34" s="93" t="s">
        <v>88</v>
      </c>
      <c r="E34" s="93" t="s">
        <v>25</v>
      </c>
      <c r="F34" s="93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-2.7724935666976425E-2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-0.45096978949478844</v>
      </c>
      <c r="R34" s="13">
        <f>'TUSD BE'!$R$34*'TUSD BE'!$R$58</f>
        <v>-6.8227791966222237E-2</v>
      </c>
      <c r="S34" s="13">
        <f>'TUSD BE'!$R$34*'TUSD BE'!$S$58</f>
        <v>0</v>
      </c>
      <c r="T34" s="13">
        <f ca="1">SUM($L$34:$S$34)</f>
        <v>-0.54692251712798712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19.820062878157174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19.820062878157174</v>
      </c>
      <c r="AC34" s="13">
        <f>'TUSD BE'!$AC$34*'TUSD BE'!$AC$58</f>
        <v>-409.04563608322832</v>
      </c>
      <c r="AD34" s="13">
        <f>SUM($AC$34:$AC$34)</f>
        <v>-409.04563608322832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-0.8997572346732049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-0.8997572346732049</v>
      </c>
      <c r="AM34" s="13">
        <f ca="1">SUMIF($L$4:$AL$4,"SUBTOTAL",$L$34:$AL$34)</f>
        <v>-390.67225295687234</v>
      </c>
      <c r="AO34" s="20">
        <f ca="1">+'TUSD BE'!$T$34+'TUSD BE'!$AB$34+'TUSD BE'!$AD$34+'TUSD BE'!$AL$34</f>
        <v>1778.9783443488288</v>
      </c>
      <c r="AP34" s="20">
        <f ca="1">+'TUSD BE'!$T$34+'TUSD BE'!$AB$34+'TUSD BE'!$AD$34+'TUSD BE'!$AL$34</f>
        <v>1778.9783443488288</v>
      </c>
    </row>
    <row r="35" spans="1:42" ht="11.25" customHeight="1" x14ac:dyDescent="0.25">
      <c r="A35" s="93"/>
      <c r="B35" s="93"/>
      <c r="C35" s="93"/>
      <c r="D35" s="93"/>
      <c r="E35" s="93"/>
      <c r="F35" s="93"/>
      <c r="G35" s="18" t="s">
        <v>83</v>
      </c>
      <c r="H35" s="18" t="s">
        <v>70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-2.7724935666976425E-2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-0.45096978949478844</v>
      </c>
      <c r="R35" s="13">
        <f>'TUSD BE'!$R$35*'TUSD BE'!$R$58</f>
        <v>-6.8227791966222237E-2</v>
      </c>
      <c r="S35" s="13">
        <f>'TUSD BE'!$R$35*'TUSD BE'!$S$58</f>
        <v>0</v>
      </c>
      <c r="T35" s="13">
        <f ca="1">SUM($L$35:$S$35)</f>
        <v>-0.54692251712798712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11.889763609603474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11.889763609603474</v>
      </c>
      <c r="AC35" s="13">
        <f>'TUSD BE'!$AC$35*'TUSD BE'!$AC$58</f>
        <v>-245.42732505367383</v>
      </c>
      <c r="AD35" s="13">
        <f>SUM($AC$35:$AC$35)</f>
        <v>-245.42732505367383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-0.8997572346732049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-0.8997572346732049</v>
      </c>
      <c r="AM35" s="13">
        <f ca="1">SUMIF($L$4:$AL$4,"SUBTOTAL",$L$35:$AL$35)</f>
        <v>-234.98424119587156</v>
      </c>
      <c r="AO35" s="20">
        <f ca="1">+'TUSD BE'!$T$35+'TUSD BE'!$AB$35+'TUSD BE'!$AD$35+'TUSD BE'!$AL$35</f>
        <v>1116.257156533848</v>
      </c>
      <c r="AP35" s="20">
        <f ca="1">+'TUSD BE'!$T$35+'TUSD BE'!$AB$35+'TUSD BE'!$AD$35+'TUSD BE'!$AL$35</f>
        <v>1116.257156533848</v>
      </c>
    </row>
    <row r="36" spans="1:42" ht="11.25" customHeight="1" x14ac:dyDescent="0.25">
      <c r="A36" s="93"/>
      <c r="B36" s="93"/>
      <c r="C36" s="93"/>
      <c r="D36" s="93"/>
      <c r="E36" s="93"/>
      <c r="F36" s="93"/>
      <c r="G36" s="18" t="s">
        <v>72</v>
      </c>
      <c r="H36" s="18" t="s">
        <v>70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-2.7724935666976425E-2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-0.45096978949478844</v>
      </c>
      <c r="R36" s="13">
        <f>'TUSD BE'!$R$36*'TUSD BE'!$R$58</f>
        <v>-6.8227791966222237E-2</v>
      </c>
      <c r="S36" s="13">
        <f>'TUSD BE'!$R$36*'TUSD BE'!$S$58</f>
        <v>0</v>
      </c>
      <c r="T36" s="13">
        <f ca="1">SUM($L$36:$S$36)</f>
        <v>-0.54692251712798712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3.9623096418618311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3.9623096418618311</v>
      </c>
      <c r="AC36" s="13">
        <f>'TUSD BE'!$AC$36*'TUSD BE'!$AC$58</f>
        <v>-81.809084769448319</v>
      </c>
      <c r="AD36" s="13">
        <f>SUM($AC$36:$AC$36)</f>
        <v>-81.809084769448319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-0.8997572346732049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-0.8997572346732049</v>
      </c>
      <c r="AM36" s="13">
        <f ca="1">SUMIF($L$4:$AL$4,"SUBTOTAL",$L$36:$AL$36)</f>
        <v>-79.293454879387681</v>
      </c>
      <c r="AO36" s="20">
        <f ca="1">+'TUSD BE'!$T$36+'TUSD BE'!$AB$36+'TUSD BE'!$AD$36+'TUSD BE'!$AL$36</f>
        <v>453.59396862488541</v>
      </c>
      <c r="AP36" s="20">
        <f ca="1">+'TUSD BE'!$T$36+'TUSD BE'!$AB$36+'TUSD BE'!$AD$36+'TUSD BE'!$AL$36</f>
        <v>453.59396862488541</v>
      </c>
    </row>
    <row r="37" spans="1:42" ht="11.25" customHeight="1" x14ac:dyDescent="0.25">
      <c r="A37" s="93"/>
      <c r="B37" s="17" t="s">
        <v>23</v>
      </c>
      <c r="C37" s="17" t="s">
        <v>41</v>
      </c>
      <c r="D37" s="17" t="s">
        <v>88</v>
      </c>
      <c r="E37" s="17" t="s">
        <v>25</v>
      </c>
      <c r="F37" s="17" t="s">
        <v>25</v>
      </c>
      <c r="G37" s="18" t="s">
        <v>77</v>
      </c>
      <c r="H37" s="18" t="s">
        <v>70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-2.7724935666976425E-2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-0.45096978949478844</v>
      </c>
      <c r="R37" s="13">
        <f>'TUSD BE'!$R$37*'TUSD BE'!$R$58</f>
        <v>-6.8227791966222237E-2</v>
      </c>
      <c r="S37" s="13">
        <f>'TUSD BE'!$R$37*'TUSD BE'!$S$58</f>
        <v>0</v>
      </c>
      <c r="T37" s="13">
        <f ca="1">SUM($L$37:$S$37)</f>
        <v>-0.54692251712798712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5.7435051089887068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5.7435051089887068</v>
      </c>
      <c r="AC37" s="13">
        <f>'TUSD BE'!$AC$37*'TUSD BE'!$AC$58</f>
        <v>-138.65957122938599</v>
      </c>
      <c r="AD37" s="13">
        <f>SUM($AC$37:$AC$37)</f>
        <v>-138.65957122938599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-0.8997572346732049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-0.8997572346732049</v>
      </c>
      <c r="AM37" s="13">
        <f ca="1">SUMIF($L$4:$AL$4,"SUBTOTAL",$L$37:$AL$37)</f>
        <v>-134.36274587219847</v>
      </c>
      <c r="AO37" s="20">
        <f ca="1">+'TUSD BE'!$T$37+'TUSD BE'!$AB$37+'TUSD BE'!$AD$37+'TUSD BE'!$AL$37</f>
        <v>664.0764407300062</v>
      </c>
      <c r="AP37" s="20">
        <f ca="1">+'TUSD BE'!$T$37+'TUSD BE'!$AB$37+'TUSD BE'!$AD$37+'TUSD BE'!$AL$37</f>
        <v>664.0764407300062</v>
      </c>
    </row>
    <row r="38" spans="1:42" ht="11.25" customHeight="1" x14ac:dyDescent="0.25">
      <c r="A38" s="93"/>
      <c r="B38" s="93" t="s">
        <v>85</v>
      </c>
      <c r="C38" s="93" t="s">
        <v>41</v>
      </c>
      <c r="D38" s="93" t="s">
        <v>89</v>
      </c>
      <c r="E38" s="93" t="s">
        <v>25</v>
      </c>
      <c r="F38" s="93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-2.7724935666976425E-2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-0.45096978949478844</v>
      </c>
      <c r="R38" s="13">
        <f>'TUSD BE'!$R$38*'TUSD BE'!$R$58</f>
        <v>-6.8227791966222237E-2</v>
      </c>
      <c r="S38" s="13">
        <f>'TUSD BE'!$R$38*'TUSD BE'!$S$58</f>
        <v>0</v>
      </c>
      <c r="T38" s="13">
        <f ca="1">SUM($L$38:$S$38)</f>
        <v>-0.54692251712798712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19.820062878157174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19.820062878157174</v>
      </c>
      <c r="AC38" s="13">
        <f>'TUSD BE'!$AC$38*'TUSD BE'!$AC$58</f>
        <v>-409.04563608322832</v>
      </c>
      <c r="AD38" s="13">
        <f>SUM($AC$38:$AC$38)</f>
        <v>-409.04563608322832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-0.8997572346732049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-0.8997572346732049</v>
      </c>
      <c r="AM38" s="13">
        <f ca="1">SUMIF($L$4:$AL$4,"SUBTOTAL",$L$38:$AL$38)</f>
        <v>-390.67225295687234</v>
      </c>
      <c r="AO38" s="20">
        <f ca="1">+'TUSD BE'!$T$38+'TUSD BE'!$AB$38+'TUSD BE'!$AD$38+'TUSD BE'!$AL$38</f>
        <v>1778.9783443488288</v>
      </c>
      <c r="AP38" s="20">
        <f ca="1">+'TUSD BE'!$T$38+'TUSD BE'!$AB$38+'TUSD BE'!$AD$38+'TUSD BE'!$AL$38</f>
        <v>1778.9783443488288</v>
      </c>
    </row>
    <row r="39" spans="1:42" ht="11.25" customHeight="1" x14ac:dyDescent="0.25">
      <c r="A39" s="93"/>
      <c r="B39" s="93"/>
      <c r="C39" s="93"/>
      <c r="D39" s="93"/>
      <c r="E39" s="93"/>
      <c r="F39" s="93"/>
      <c r="G39" s="18" t="s">
        <v>83</v>
      </c>
      <c r="H39" s="18" t="s">
        <v>70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-2.7724935666976425E-2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-0.45096978949478844</v>
      </c>
      <c r="R39" s="13">
        <f>'TUSD BE'!$R$39*'TUSD BE'!$R$58</f>
        <v>-6.8227791966222237E-2</v>
      </c>
      <c r="S39" s="13">
        <f>'TUSD BE'!$R$39*'TUSD BE'!$S$58</f>
        <v>0</v>
      </c>
      <c r="T39" s="13">
        <f ca="1">SUM($L$39:$S$39)</f>
        <v>-0.54692251712798712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11.889763609603474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11.889763609603474</v>
      </c>
      <c r="AC39" s="13">
        <f>'TUSD BE'!$AC$39*'TUSD BE'!$AC$58</f>
        <v>-245.42732505367383</v>
      </c>
      <c r="AD39" s="13">
        <f>SUM($AC$39:$AC$39)</f>
        <v>-245.42732505367383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-0.8997572346732049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-0.8997572346732049</v>
      </c>
      <c r="AM39" s="13">
        <f ca="1">SUMIF($L$4:$AL$4,"SUBTOTAL",$L$39:$AL$39)</f>
        <v>-234.98424119587156</v>
      </c>
      <c r="AO39" s="20">
        <f ca="1">+'TUSD BE'!$T$39+'TUSD BE'!$AB$39+'TUSD BE'!$AD$39+'TUSD BE'!$AL$39</f>
        <v>1116.257156533848</v>
      </c>
      <c r="AP39" s="20">
        <f ca="1">+'TUSD BE'!$T$39+'TUSD BE'!$AB$39+'TUSD BE'!$AD$39+'TUSD BE'!$AL$39</f>
        <v>1116.257156533848</v>
      </c>
    </row>
    <row r="40" spans="1:42" ht="11.25" customHeight="1" x14ac:dyDescent="0.25">
      <c r="A40" s="93"/>
      <c r="B40" s="93"/>
      <c r="C40" s="93"/>
      <c r="D40" s="93"/>
      <c r="E40" s="93"/>
      <c r="F40" s="93"/>
      <c r="G40" s="18" t="s">
        <v>72</v>
      </c>
      <c r="H40" s="18" t="s">
        <v>70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-2.7724935666976425E-2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-0.45096978949478844</v>
      </c>
      <c r="R40" s="13">
        <f>'TUSD BE'!$R$40*'TUSD BE'!$R$58</f>
        <v>-6.8227791966222237E-2</v>
      </c>
      <c r="S40" s="13">
        <f>'TUSD BE'!$R$40*'TUSD BE'!$S$58</f>
        <v>0</v>
      </c>
      <c r="T40" s="13">
        <f ca="1">SUM($L$40:$S$40)</f>
        <v>-0.54692251712798712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3.9623096418618311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3.9623096418618311</v>
      </c>
      <c r="AC40" s="13">
        <f>'TUSD BE'!$AC$40*'TUSD BE'!$AC$58</f>
        <v>-81.809084769448319</v>
      </c>
      <c r="AD40" s="13">
        <f>SUM($AC$40:$AC$40)</f>
        <v>-81.809084769448319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-0.8997572346732049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-0.8997572346732049</v>
      </c>
      <c r="AM40" s="13">
        <f ca="1">SUMIF($L$4:$AL$4,"SUBTOTAL",$L$40:$AL$40)</f>
        <v>-79.293454879387681</v>
      </c>
      <c r="AO40" s="20">
        <f ca="1">+'TUSD BE'!$T$40+'TUSD BE'!$AB$40+'TUSD BE'!$AD$40+'TUSD BE'!$AL$40</f>
        <v>453.59396862488541</v>
      </c>
      <c r="AP40" s="20">
        <f ca="1">+'TUSD BE'!$T$40+'TUSD BE'!$AB$40+'TUSD BE'!$AD$40+'TUSD BE'!$AL$40</f>
        <v>453.59396862488541</v>
      </c>
    </row>
    <row r="41" spans="1:42" ht="11.25" customHeight="1" x14ac:dyDescent="0.25">
      <c r="A41" s="93"/>
      <c r="B41" s="17" t="s">
        <v>23</v>
      </c>
      <c r="C41" s="17" t="s">
        <v>41</v>
      </c>
      <c r="D41" s="17" t="s">
        <v>89</v>
      </c>
      <c r="E41" s="17" t="s">
        <v>25</v>
      </c>
      <c r="F41" s="17" t="s">
        <v>25</v>
      </c>
      <c r="G41" s="18" t="s">
        <v>77</v>
      </c>
      <c r="H41" s="18" t="s">
        <v>70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-2.7724935666976425E-2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-0.45096978949478844</v>
      </c>
      <c r="R41" s="13">
        <f>'TUSD BE'!$R$41*'TUSD BE'!$R$58</f>
        <v>-6.8227791966222237E-2</v>
      </c>
      <c r="S41" s="13">
        <f>'TUSD BE'!$R$41*'TUSD BE'!$S$58</f>
        <v>0</v>
      </c>
      <c r="T41" s="13">
        <f ca="1">SUM($L$41:$S$41)</f>
        <v>-0.54692251712798712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5.7435051089887068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5.7435051089887068</v>
      </c>
      <c r="AC41" s="13">
        <f>'TUSD BE'!$AC$41*'TUSD BE'!$AC$58</f>
        <v>-138.65957122938599</v>
      </c>
      <c r="AD41" s="13">
        <f>SUM($AC$41:$AC$41)</f>
        <v>-138.65957122938599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-0.8997572346732049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-0.8997572346732049</v>
      </c>
      <c r="AM41" s="13">
        <f ca="1">SUMIF($L$4:$AL$4,"SUBTOTAL",$L$41:$AL$41)</f>
        <v>-134.36274587219847</v>
      </c>
      <c r="AO41" s="20">
        <f ca="1">+'TUSD BE'!$T$41+'TUSD BE'!$AB$41+'TUSD BE'!$AD$41+'TUSD BE'!$AL$41</f>
        <v>664.0764407300062</v>
      </c>
      <c r="AP41" s="20">
        <f ca="1">+'TUSD BE'!$T$41+'TUSD BE'!$AB$41+'TUSD BE'!$AD$41+'TUSD BE'!$AL$41</f>
        <v>664.0764407300062</v>
      </c>
    </row>
    <row r="42" spans="1:42" ht="11.25" customHeight="1" x14ac:dyDescent="0.25">
      <c r="A42" s="93"/>
      <c r="B42" s="93" t="s">
        <v>87</v>
      </c>
      <c r="C42" s="93" t="s">
        <v>41</v>
      </c>
      <c r="D42" s="17" t="s">
        <v>25</v>
      </c>
      <c r="E42" s="17" t="s">
        <v>25</v>
      </c>
      <c r="F42" s="17" t="s">
        <v>25</v>
      </c>
      <c r="G42" s="18" t="s">
        <v>77</v>
      </c>
      <c r="H42" s="18" t="s">
        <v>70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-2.7724935666976425E-2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-0.45096978949478844</v>
      </c>
      <c r="R42" s="13">
        <f>'TUSD BE'!$R$42*'TUSD BE'!$R$58</f>
        <v>-6.8227791966222237E-2</v>
      </c>
      <c r="S42" s="13">
        <f>'TUSD BE'!$R$42*'TUSD BE'!$S$58</f>
        <v>0</v>
      </c>
      <c r="T42" s="13">
        <f ca="1">SUM($L$42:$S$42)</f>
        <v>-0.54692251712798712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5.7435051089887068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5.7435051089887068</v>
      </c>
      <c r="AC42" s="13">
        <f>'TUSD BE'!$AC$42*'TUSD BE'!$AC$58</f>
        <v>-138.65957122938599</v>
      </c>
      <c r="AD42" s="13">
        <f>SUM($AC$42:$AC$42)</f>
        <v>-138.65957122938599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-0.8997572346732049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-0.8997572346732049</v>
      </c>
      <c r="AM42" s="13">
        <f ca="1">SUMIF($L$4:$AL$4,"SUBTOTAL",$L$42:$AL$42)</f>
        <v>-134.36274587219847</v>
      </c>
      <c r="AO42" s="20">
        <f ca="1">+'TUSD BE'!$T$42+'TUSD BE'!$AB$42+'TUSD BE'!$AD$42+'TUSD BE'!$AL$42</f>
        <v>664.0764407300062</v>
      </c>
      <c r="AP42" s="20">
        <f ca="1">+'TUSD BE'!$T$42+'TUSD BE'!$AB$42+'TUSD BE'!$AD$42+'TUSD BE'!$AL$42</f>
        <v>664.0764407300062</v>
      </c>
    </row>
    <row r="43" spans="1:42" ht="11.25" customHeight="1" x14ac:dyDescent="0.25">
      <c r="A43" s="93"/>
      <c r="B43" s="93"/>
      <c r="C43" s="93"/>
      <c r="D43" s="17" t="s">
        <v>88</v>
      </c>
      <c r="E43" s="17" t="s">
        <v>25</v>
      </c>
      <c r="F43" s="17" t="s">
        <v>25</v>
      </c>
      <c r="G43" s="18" t="s">
        <v>77</v>
      </c>
      <c r="H43" s="18" t="s">
        <v>70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-2.7724935666976425E-2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-0.45096978949478844</v>
      </c>
      <c r="R43" s="13">
        <f>'TUSD BE'!$R$43*'TUSD BE'!$R$58</f>
        <v>-6.8227791966222237E-2</v>
      </c>
      <c r="S43" s="13">
        <f>'TUSD BE'!$R$43*'TUSD BE'!$S$58</f>
        <v>0</v>
      </c>
      <c r="T43" s="13">
        <f ca="1">SUM($L$43:$S$43)</f>
        <v>-0.54692251712798712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5.7435051089887068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5.7435051089887068</v>
      </c>
      <c r="AC43" s="13">
        <f>'TUSD BE'!$AC$43*'TUSD BE'!$AC$58</f>
        <v>-138.65957122938599</v>
      </c>
      <c r="AD43" s="13">
        <f>SUM($AC$43:$AC$43)</f>
        <v>-138.65957122938599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-0.8997572346732049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-0.8997572346732049</v>
      </c>
      <c r="AM43" s="13">
        <f ca="1">SUMIF($L$4:$AL$4,"SUBTOTAL",$L$43:$AL$43)</f>
        <v>-134.36274587219847</v>
      </c>
      <c r="AO43" s="20">
        <f ca="1">+'TUSD BE'!$T$43+'TUSD BE'!$AB$43+'TUSD BE'!$AD$43+'TUSD BE'!$AL$43</f>
        <v>664.0764407300062</v>
      </c>
      <c r="AP43" s="20">
        <f ca="1">+'TUSD BE'!$T$43+'TUSD BE'!$AB$43+'TUSD BE'!$AD$43+'TUSD BE'!$AL$43</f>
        <v>664.0764407300062</v>
      </c>
    </row>
    <row r="44" spans="1:42" ht="11.25" customHeight="1" x14ac:dyDescent="0.25">
      <c r="A44" s="93"/>
      <c r="B44" s="93"/>
      <c r="C44" s="93"/>
      <c r="D44" s="17" t="s">
        <v>89</v>
      </c>
      <c r="E44" s="17" t="s">
        <v>25</v>
      </c>
      <c r="F44" s="17" t="s">
        <v>25</v>
      </c>
      <c r="G44" s="18" t="s">
        <v>77</v>
      </c>
      <c r="H44" s="18" t="s">
        <v>70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-2.7724935666976425E-2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-0.45096978949478844</v>
      </c>
      <c r="R44" s="13">
        <f>'TUSD BE'!$R$44*'TUSD BE'!$R$58</f>
        <v>-6.8227791966222237E-2</v>
      </c>
      <c r="S44" s="13">
        <f>'TUSD BE'!$R$44*'TUSD BE'!$S$58</f>
        <v>0</v>
      </c>
      <c r="T44" s="13">
        <f ca="1">SUM($L$44:$S$44)</f>
        <v>-0.54692251712798712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5.7435051089887068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5.7435051089887068</v>
      </c>
      <c r="AC44" s="13">
        <f>'TUSD BE'!$AC$44*'TUSD BE'!$AC$58</f>
        <v>-138.65957122938599</v>
      </c>
      <c r="AD44" s="13">
        <f>SUM($AC$44:$AC$44)</f>
        <v>-138.65957122938599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-0.8997572346732049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-0.8997572346732049</v>
      </c>
      <c r="AM44" s="13">
        <f ca="1">SUMIF($L$4:$AL$4,"SUBTOTAL",$L$44:$AL$44)</f>
        <v>-134.36274587219847</v>
      </c>
      <c r="AO44" s="20">
        <f ca="1">+'TUSD BE'!$T$44+'TUSD BE'!$AB$44+'TUSD BE'!$AD$44+'TUSD BE'!$AL$44</f>
        <v>664.0764407300062</v>
      </c>
      <c r="AP44" s="20">
        <f ca="1">+'TUSD BE'!$T$44+'TUSD BE'!$AB$44+'TUSD BE'!$AD$44+'TUSD BE'!$AL$44</f>
        <v>664.0764407300062</v>
      </c>
    </row>
    <row r="45" spans="1:42" ht="11.25" customHeight="1" x14ac:dyDescent="0.25">
      <c r="A45" s="93" t="s">
        <v>33</v>
      </c>
      <c r="B45" s="93" t="s">
        <v>85</v>
      </c>
      <c r="C45" s="93" t="s">
        <v>25</v>
      </c>
      <c r="D45" s="93" t="s">
        <v>25</v>
      </c>
      <c r="E45" s="93" t="s">
        <v>25</v>
      </c>
      <c r="F45" s="93" t="s">
        <v>25</v>
      </c>
      <c r="G45" s="18" t="s">
        <v>71</v>
      </c>
      <c r="H45" s="18" t="s">
        <v>70</v>
      </c>
      <c r="I45" s="18">
        <f>'MERCADO TUSD'!$U$42</f>
        <v>0</v>
      </c>
      <c r="J45" s="15"/>
      <c r="L45" s="13">
        <f>'TUSD BE'!$L$45*'TUSD BE'!$L$58</f>
        <v>0</v>
      </c>
      <c r="M45" s="13">
        <f>'TUSD BE'!$M$45*'TUSD BE'!$M$58</f>
        <v>-2.7724935666976425E-2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-0.45096978949478844</v>
      </c>
      <c r="R45" s="13">
        <f>'TUSD BE'!$R$45*'TUSD BE'!$R$58</f>
        <v>-6.8227791966222237E-2</v>
      </c>
      <c r="S45" s="13">
        <f>'TUSD BE'!$R$45*'TUSD BE'!$S$58</f>
        <v>0</v>
      </c>
      <c r="T45" s="13">
        <f ca="1">SUM($L$45:$S$45)</f>
        <v>-0.54692251712798712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19.820062878157174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19.820062878157174</v>
      </c>
      <c r="AC45" s="13">
        <f>'TUSD BE'!$AC$45*'TUSD BE'!$AC$58</f>
        <v>-478.37531557992781</v>
      </c>
      <c r="AD45" s="13">
        <f>SUM($AC$45:$AC$45)</f>
        <v>-478.37531557992781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-0.8997572346732049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-0.8997572346732049</v>
      </c>
      <c r="AM45" s="13">
        <f ca="1">SUMIF($L$4:$AL$4,"SUBTOTAL",$L$45:$AL$45)</f>
        <v>-460.00193245357184</v>
      </c>
      <c r="AO45" s="20">
        <f ca="1">+'TUSD BE'!$T$45+'TUSD BE'!$AB$45+'TUSD BE'!$AD$45+'TUSD BE'!$AL$45</f>
        <v>1991.5504247361223</v>
      </c>
      <c r="AP45" s="20">
        <f ca="1">+'TUSD BE'!$T$45+'TUSD BE'!$AB$45+'TUSD BE'!$AD$45+'TUSD BE'!$AL$45</f>
        <v>1991.5504247361223</v>
      </c>
    </row>
    <row r="46" spans="1:42" ht="11.25" customHeight="1" x14ac:dyDescent="0.25">
      <c r="A46" s="93"/>
      <c r="B46" s="93"/>
      <c r="C46" s="93"/>
      <c r="D46" s="93"/>
      <c r="E46" s="93"/>
      <c r="F46" s="93"/>
      <c r="G46" s="18" t="s">
        <v>83</v>
      </c>
      <c r="H46" s="18" t="s">
        <v>70</v>
      </c>
      <c r="I46" s="18">
        <f>'MERCADO TUSD'!$U$43</f>
        <v>0</v>
      </c>
      <c r="J46" s="15"/>
      <c r="L46" s="13">
        <f>'TUSD BE'!$L$46*'TUSD BE'!$L$58</f>
        <v>0</v>
      </c>
      <c r="M46" s="13">
        <f>'TUSD BE'!$M$46*'TUSD BE'!$M$58</f>
        <v>-2.7724935666976425E-2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-0.45096978949478844</v>
      </c>
      <c r="R46" s="13">
        <f>'TUSD BE'!$R$46*'TUSD BE'!$R$58</f>
        <v>-6.8227791966222237E-2</v>
      </c>
      <c r="S46" s="13">
        <f>'TUSD BE'!$R$46*'TUSD BE'!$S$58</f>
        <v>0</v>
      </c>
      <c r="T46" s="13">
        <f ca="1">SUM($L$46:$S$46)</f>
        <v>-0.54692251712798712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11.889763609603474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11.889763609603474</v>
      </c>
      <c r="AC46" s="13">
        <f>'TUSD BE'!$AC$46*'TUSD BE'!$AC$58</f>
        <v>-287.02515397529226</v>
      </c>
      <c r="AD46" s="13">
        <f>SUM($AC$46:$AC$46)</f>
        <v>-287.02515397529226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-0.8997572346732049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-0.8997572346732049</v>
      </c>
      <c r="AM46" s="13">
        <f ca="1">SUMIF($L$4:$AL$4,"SUBTOTAL",$L$46:$AL$46)</f>
        <v>-276.58207011748993</v>
      </c>
      <c r="AO46" s="20">
        <f ca="1">+'TUSD BE'!$T$46+'TUSD BE'!$AB$46+'TUSD BE'!$AD$46+'TUSD BE'!$AL$46</f>
        <v>1243.8004698400073</v>
      </c>
      <c r="AP46" s="20">
        <f ca="1">+'TUSD BE'!$T$46+'TUSD BE'!$AB$46+'TUSD BE'!$AD$46+'TUSD BE'!$AL$46</f>
        <v>1243.8004698400073</v>
      </c>
    </row>
    <row r="47" spans="1:42" ht="11.25" customHeight="1" x14ac:dyDescent="0.25">
      <c r="A47" s="93"/>
      <c r="B47" s="93"/>
      <c r="C47" s="93"/>
      <c r="D47" s="93"/>
      <c r="E47" s="93"/>
      <c r="F47" s="93"/>
      <c r="G47" s="18" t="s">
        <v>72</v>
      </c>
      <c r="H47" s="18" t="s">
        <v>70</v>
      </c>
      <c r="I47" s="18">
        <f>'MERCADO TUSD'!$U$44</f>
        <v>0</v>
      </c>
      <c r="J47" s="15"/>
      <c r="L47" s="13">
        <f>'TUSD BE'!$L$47*'TUSD BE'!$L$58</f>
        <v>0</v>
      </c>
      <c r="M47" s="13">
        <f>'TUSD BE'!$M$47*'TUSD BE'!$M$58</f>
        <v>-2.7724935666976425E-2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-0.45096978949478844</v>
      </c>
      <c r="R47" s="13">
        <f>'TUSD BE'!$R$47*'TUSD BE'!$R$58</f>
        <v>-6.8227791966222237E-2</v>
      </c>
      <c r="S47" s="13">
        <f>'TUSD BE'!$R$47*'TUSD BE'!$S$58</f>
        <v>0</v>
      </c>
      <c r="T47" s="13">
        <f ca="1">SUM($L$47:$S$47)</f>
        <v>-0.54692251712798712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3.9623096418618311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3.9623096418618311</v>
      </c>
      <c r="AC47" s="13">
        <f>'TUSD BE'!$AC$47*'TUSD BE'!$AC$58</f>
        <v>-95.675133861314478</v>
      </c>
      <c r="AD47" s="13">
        <f>SUM($AC$47:$AC$47)</f>
        <v>-95.675133861314478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-0.8997572346732049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-0.8997572346732049</v>
      </c>
      <c r="AM47" s="13">
        <f ca="1">SUMIF($L$4:$AL$4,"SUBTOTAL",$L$47:$AL$47)</f>
        <v>-93.159503971253841</v>
      </c>
      <c r="AO47" s="20">
        <f ca="1">+'TUSD BE'!$T$47+'TUSD BE'!$AB$47+'TUSD BE'!$AD$47+'TUSD BE'!$AL$47</f>
        <v>496.10873176252045</v>
      </c>
      <c r="AP47" s="20">
        <f ca="1">+'TUSD BE'!$T$47+'TUSD BE'!$AB$47+'TUSD BE'!$AD$47+'TUSD BE'!$AL$47</f>
        <v>496.10873176252045</v>
      </c>
    </row>
    <row r="48" spans="1:42" ht="11.25" customHeight="1" x14ac:dyDescent="0.25">
      <c r="A48" s="93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77</v>
      </c>
      <c r="H48" s="18" t="s">
        <v>70</v>
      </c>
      <c r="I48" s="18">
        <f>'MERCADO TUSD'!$U$45</f>
        <v>4711.0929999999998</v>
      </c>
      <c r="J48" s="15"/>
      <c r="L48" s="13">
        <f>'TUSD BE'!$L$48*'TUSD BE'!$L$58</f>
        <v>0</v>
      </c>
      <c r="M48" s="13">
        <f>'TUSD BE'!$M$48*'TUSD BE'!$M$58</f>
        <v>-2.7724935666976425E-2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-0.45096978949478844</v>
      </c>
      <c r="R48" s="13">
        <f>'TUSD BE'!$R$48*'TUSD BE'!$R$58</f>
        <v>-6.8227791966222237E-2</v>
      </c>
      <c r="S48" s="13">
        <f>'TUSD BE'!$R$48*'TUSD BE'!$S$58</f>
        <v>0</v>
      </c>
      <c r="T48" s="13">
        <f ca="1">SUM($L$48:$S$48)</f>
        <v>-0.54692251712798712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5.7435051089887068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5.7435051089887068</v>
      </c>
      <c r="AC48" s="13">
        <f>'TUSD BE'!$AC$48*'TUSD BE'!$AC$58</f>
        <v>-138.65957122938599</v>
      </c>
      <c r="AD48" s="13">
        <f>SUM($AC$48:$AC$48)</f>
        <v>-138.65957122938599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-0.8997572346732049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-0.8997572346732049</v>
      </c>
      <c r="AM48" s="13">
        <f ca="1">SUMIF($L$4:$AL$4,"SUBTOTAL",$L$48:$AL$48)</f>
        <v>-134.36274587219847</v>
      </c>
      <c r="AO48" s="20">
        <f ca="1">+'TUSD BE'!$T$48+'TUSD BE'!$AB$48+'TUSD BE'!$AD$48+'TUSD BE'!$AL$48</f>
        <v>664.0764407300062</v>
      </c>
      <c r="AP48" s="20">
        <f ca="1">+'TUSD BE'!$T$48+'TUSD BE'!$AB$48+'TUSD BE'!$AD$48+'TUSD BE'!$AL$48</f>
        <v>664.0764407300062</v>
      </c>
    </row>
    <row r="49" spans="1:42" ht="11.25" customHeight="1" x14ac:dyDescent="0.25">
      <c r="A49" s="93"/>
      <c r="B49" s="17" t="s">
        <v>87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77</v>
      </c>
      <c r="H49" s="18" t="s">
        <v>70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-2.7724935666976425E-2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-0.45096978949478844</v>
      </c>
      <c r="R49" s="13">
        <f>'TUSD BE'!$R$49*'TUSD BE'!$R$58</f>
        <v>-6.8227791966222237E-2</v>
      </c>
      <c r="S49" s="13">
        <f>'TUSD BE'!$R$49*'TUSD BE'!$S$58</f>
        <v>0</v>
      </c>
      <c r="T49" s="13">
        <f ca="1">SUM($L$49:$S$49)</f>
        <v>-0.54692251712798712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5.7435051089887068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5.7435051089887068</v>
      </c>
      <c r="AC49" s="13">
        <f>'TUSD BE'!$AC$49*'TUSD BE'!$AC$58</f>
        <v>-138.65957122938599</v>
      </c>
      <c r="AD49" s="13">
        <f>SUM($AC$49:$AC$49)</f>
        <v>-138.65957122938599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-0.8997572346732049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-0.8997572346732049</v>
      </c>
      <c r="AM49" s="13">
        <f ca="1">SUMIF($L$4:$AL$4,"SUBTOTAL",$L$49:$AL$49)</f>
        <v>-134.36274587219847</v>
      </c>
      <c r="AO49" s="20">
        <f ca="1">+'TUSD BE'!$T$49+'TUSD BE'!$AB$49+'TUSD BE'!$AD$49+'TUSD BE'!$AL$49</f>
        <v>664.0764407300062</v>
      </c>
      <c r="AP49" s="20">
        <f ca="1">+'TUSD BE'!$T$49+'TUSD BE'!$AB$49+'TUSD BE'!$AD$49+'TUSD BE'!$AL$49</f>
        <v>664.0764407300062</v>
      </c>
    </row>
    <row r="50" spans="1:42" ht="11.25" customHeight="1" x14ac:dyDescent="0.25">
      <c r="A50" s="93" t="s">
        <v>43</v>
      </c>
      <c r="B50" s="93" t="s">
        <v>23</v>
      </c>
      <c r="C50" s="93" t="s">
        <v>44</v>
      </c>
      <c r="D50" s="17" t="s">
        <v>45</v>
      </c>
      <c r="E50" s="17" t="s">
        <v>25</v>
      </c>
      <c r="F50" s="17" t="s">
        <v>25</v>
      </c>
      <c r="G50" s="18" t="s">
        <v>77</v>
      </c>
      <c r="H50" s="18" t="s">
        <v>70</v>
      </c>
      <c r="I50" s="18">
        <f>'MERCADO TUSD'!$U$47</f>
        <v>1954.79</v>
      </c>
      <c r="J50" s="15"/>
      <c r="L50" s="13">
        <f>'TUSD BE'!$L$50*'TUSD BE'!$L$58</f>
        <v>0</v>
      </c>
      <c r="M50" s="13">
        <f>'TUSD BE'!$M$50*'TUSD BE'!$M$58</f>
        <v>-1.5248714616837036E-2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-0.24803338422213367</v>
      </c>
      <c r="R50" s="13">
        <f>'TUSD BE'!$R$50*'TUSD BE'!$R$58</f>
        <v>-3.7525285581422242E-2</v>
      </c>
      <c r="S50" s="13">
        <f>'TUSD BE'!$R$50*'TUSD BE'!$S$58</f>
        <v>0</v>
      </c>
      <c r="T50" s="13">
        <f ca="1">SUM($L$50:$S$50)</f>
        <v>-0.30080738442039295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3.1589278099437892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3.1589278099437892</v>
      </c>
      <c r="AC50" s="13">
        <f>'TUSD BE'!$AC$50*'TUSD BE'!$AC$58</f>
        <v>-76.262764176162307</v>
      </c>
      <c r="AD50" s="13">
        <f>SUM($AC$50:$AC$50)</f>
        <v>-76.262764176162307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-0.49486647907026277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-0.49486647907026277</v>
      </c>
      <c r="AM50" s="13">
        <f ca="1">SUMIF($L$4:$AL$4,"SUBTOTAL",$L$50:$AL$50)</f>
        <v>-73.899510229709179</v>
      </c>
      <c r="AO50" s="20">
        <f ca="1">+'TUSD BE'!$T$50+'TUSD BE'!$AB$50+'TUSD BE'!$AD$50+'TUSD BE'!$AL$50</f>
        <v>365.2420424015034</v>
      </c>
      <c r="AP50" s="20">
        <f ca="1">+'TUSD BE'!$T$50+'TUSD BE'!$AB$50+'TUSD BE'!$AD$50+'TUSD BE'!$AL$50</f>
        <v>365.2420424015034</v>
      </c>
    </row>
    <row r="51" spans="1:42" ht="11.25" customHeight="1" x14ac:dyDescent="0.25">
      <c r="A51" s="93"/>
      <c r="B51" s="93"/>
      <c r="C51" s="93"/>
      <c r="D51" s="18" t="s">
        <v>46</v>
      </c>
      <c r="E51" s="18" t="s">
        <v>25</v>
      </c>
      <c r="F51" s="18" t="s">
        <v>25</v>
      </c>
      <c r="G51" s="18" t="s">
        <v>77</v>
      </c>
      <c r="H51" s="18" t="s">
        <v>70</v>
      </c>
      <c r="I51" s="18">
        <f>'MERCADO TUSD'!$U$48</f>
        <v>1.4530000000000001</v>
      </c>
      <c r="J51" s="15"/>
      <c r="L51" s="13">
        <f>'TUSD BE'!$L$51*'TUSD BE'!$L$58</f>
        <v>0</v>
      </c>
      <c r="M51" s="13">
        <f>'TUSD BE'!$M$51*'TUSD BE'!$M$58</f>
        <v>-1.6634961400185853E-2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-0.27058187369687309</v>
      </c>
      <c r="R51" s="13">
        <f>'TUSD BE'!$R$51*'TUSD BE'!$R$58</f>
        <v>-4.0936675179733345E-2</v>
      </c>
      <c r="S51" s="13">
        <f>'TUSD BE'!$R$51*'TUSD BE'!$S$58</f>
        <v>0</v>
      </c>
      <c r="T51" s="13">
        <f ca="1">SUM($L$51:$S$51)</f>
        <v>-0.32815351027679229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3.4461030653932241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3.4461030653932241</v>
      </c>
      <c r="AC51" s="13">
        <f>'TUSD BE'!$AC$51*'TUSD BE'!$AC$58</f>
        <v>-83.195742737631591</v>
      </c>
      <c r="AD51" s="13">
        <f>SUM($AC$51:$AC$51)</f>
        <v>-83.195742737631591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-0.53985434080392292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-0.53985434080392292</v>
      </c>
      <c r="AM51" s="13">
        <f ca="1">SUMIF($L$4:$AL$4,"SUBTOTAL",$L$51:$AL$51)</f>
        <v>-80.617647523319093</v>
      </c>
      <c r="AO51" s="20">
        <f ca="1">+'TUSD BE'!$T$51+'TUSD BE'!$AB$51+'TUSD BE'!$AD$51+'TUSD BE'!$AL$51</f>
        <v>398.44586443800364</v>
      </c>
      <c r="AP51" s="20">
        <f ca="1">+'TUSD BE'!$T$51+'TUSD BE'!$AB$51+'TUSD BE'!$AD$51+'TUSD BE'!$AL$51</f>
        <v>398.44586443800364</v>
      </c>
    </row>
    <row r="53" spans="1:42" ht="11.25" customHeight="1" x14ac:dyDescent="0.25">
      <c r="K53" s="16" t="s">
        <v>461</v>
      </c>
      <c r="L53" s="13">
        <f>SUMPRODUCT($I$5:$I51,$L$5:$L51)</f>
        <v>0</v>
      </c>
      <c r="M53" s="13">
        <f>SUMPRODUCT($I$5:$I51,$M$5:$M51)</f>
        <v>-650.1728378535588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-11615.655628564575</v>
      </c>
      <c r="R53" s="13">
        <f>SUMPRODUCT($I$5:$I51,$R$5:$R51)</f>
        <v>-1842.6577454173985</v>
      </c>
      <c r="S53" s="13">
        <f>SUMPRODUCT($I$5:$I51,$S$5:$S51)</f>
        <v>0</v>
      </c>
      <c r="T53" s="13">
        <f ca="1">SUMPRODUCT($I$5:$I51,$T$5:$T51)</f>
        <v>-14108.486211835532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147750.74491294709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147750.74491294709</v>
      </c>
      <c r="AC53" s="13">
        <f>SUMPRODUCT($I$5:$I51,$AC$5:$AC51)</f>
        <v>-3251682.4567118078</v>
      </c>
      <c r="AD53" s="13">
        <f>SUMPRODUCT($I$5:$I51,$AD$5:$AD51)</f>
        <v>-3251682.4567118078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-20583.934780884407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-20583.934780884407</v>
      </c>
      <c r="AM53" s="13">
        <f ca="1">SUMPRODUCT($I$5:$I51,$AM$5:$AM51)</f>
        <v>-3138624.1327915816</v>
      </c>
      <c r="AO53" s="18">
        <f ca="1">SUMPRODUCT($I$5:$I51,$AO$5:$AO51)</f>
        <v>16095684.657958074</v>
      </c>
      <c r="AP53" s="18">
        <f ca="1">SUMPRODUCT($I$5:$I51,$AP$5:$AP51)</f>
        <v>16095684.657958074</v>
      </c>
    </row>
    <row r="54" spans="1:42" ht="11.25" customHeight="1" x14ac:dyDescent="0.25">
      <c r="K54" s="16" t="s">
        <v>393</v>
      </c>
      <c r="L54" s="13">
        <f>'TR TUSD'!$L$56</f>
        <v>0</v>
      </c>
      <c r="M54" s="13">
        <f>'TR TUSD'!$M$56</f>
        <v>43806.02794658357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2380089.2903099996</v>
      </c>
      <c r="R54" s="13">
        <f>'TR TUSD'!$R$56</f>
        <v>394052.81948999997</v>
      </c>
      <c r="S54" s="13">
        <f>'TR TUSD'!$S$56</f>
        <v>0</v>
      </c>
      <c r="T54" s="13">
        <f>'TR TUSD'!$T$56</f>
        <v>2817948.1377465832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3000554.5575799998</v>
      </c>
      <c r="Z54" s="13">
        <f>'TR TUSD'!$Z$56</f>
        <v>0</v>
      </c>
      <c r="AA54" s="13">
        <f>'TR TUSD'!$AA$56</f>
        <v>0</v>
      </c>
      <c r="AB54" s="13">
        <f>'TR TUSD'!$AB$56</f>
        <v>3000554.5575799998</v>
      </c>
      <c r="AC54" s="13">
        <f>'TR TUSD'!$AC$56</f>
        <v>9970000</v>
      </c>
      <c r="AD54" s="13">
        <f>'TR TUSD'!$AD$56</f>
        <v>9970000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307181.96263148834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307181.96263148834</v>
      </c>
      <c r="AM54" s="13">
        <f>'TUSD BE'!$AM$54</f>
        <v>16095684.657958072</v>
      </c>
      <c r="AO54" s="18">
        <f>$AE$55</f>
        <v>0</v>
      </c>
      <c r="AP54" s="18">
        <f>$AF$55</f>
        <v>0</v>
      </c>
    </row>
    <row r="55" spans="1:42" ht="11.25" customHeight="1" x14ac:dyDescent="0.25">
      <c r="K55" s="16" t="s">
        <v>394</v>
      </c>
      <c r="L55" s="13">
        <f>CUSTOS!$E$2</f>
        <v>0</v>
      </c>
      <c r="M55" s="13">
        <f>CUSTOS!$E$3</f>
        <v>-650.1728378535588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-11615.655628564573</v>
      </c>
      <c r="R55" s="13">
        <f>CUSTOS!$E$8</f>
        <v>-1842.6577454173989</v>
      </c>
      <c r="S55" s="13">
        <f>CUSTOS!$E$9</f>
        <v>0</v>
      </c>
      <c r="T55" s="13">
        <f>CUSTOS!$E$10</f>
        <v>-14108.48621183553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147750.74491294715</v>
      </c>
      <c r="Z55" s="13">
        <f>CUSTOS!$E$16</f>
        <v>0</v>
      </c>
      <c r="AA55" s="13">
        <f>CUSTOS!$E$17</f>
        <v>0</v>
      </c>
      <c r="AB55" s="13">
        <f>CUSTOS!$E$18</f>
        <v>147750.74491294715</v>
      </c>
      <c r="AC55" s="13">
        <f>CUSTOS!$E$19</f>
        <v>-3251682.4567118082</v>
      </c>
      <c r="AD55" s="13">
        <f>CUSTOS!$E$20</f>
        <v>-3251682.4567118082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-20583.934780884403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-20583.934780884403</v>
      </c>
      <c r="AM55" s="13">
        <f>CUSTOS!$E$29</f>
        <v>-3138624.1327915811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395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458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470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666" priority="55" operator="notEqual">
      <formula>$L$55</formula>
    </cfRule>
    <cfRule type="cellIs" dxfId="665" priority="56" operator="equal">
      <formula>$L$55</formula>
    </cfRule>
  </conditionalFormatting>
  <conditionalFormatting sqref="M53">
    <cfRule type="cellIs" dxfId="664" priority="53" operator="notEqual">
      <formula>$M$55</formula>
    </cfRule>
    <cfRule type="cellIs" dxfId="663" priority="54" operator="equal">
      <formula>$M$55</formula>
    </cfRule>
  </conditionalFormatting>
  <conditionalFormatting sqref="N53">
    <cfRule type="cellIs" dxfId="662" priority="51" operator="notEqual">
      <formula>$N$55</formula>
    </cfRule>
    <cfRule type="cellIs" dxfId="661" priority="52" operator="equal">
      <formula>$N$55</formula>
    </cfRule>
  </conditionalFormatting>
  <conditionalFormatting sqref="O53">
    <cfRule type="cellIs" dxfId="660" priority="49" operator="notEqual">
      <formula>$O$55</formula>
    </cfRule>
    <cfRule type="cellIs" dxfId="659" priority="50" operator="equal">
      <formula>$O$55</formula>
    </cfRule>
  </conditionalFormatting>
  <conditionalFormatting sqref="P53">
    <cfRule type="cellIs" dxfId="658" priority="47" operator="notEqual">
      <formula>$P$55</formula>
    </cfRule>
    <cfRule type="cellIs" dxfId="657" priority="48" operator="equal">
      <formula>$P$55</formula>
    </cfRule>
  </conditionalFormatting>
  <conditionalFormatting sqref="Q53">
    <cfRule type="cellIs" dxfId="656" priority="45" operator="notEqual">
      <formula>$Q$55</formula>
    </cfRule>
    <cfRule type="cellIs" dxfId="655" priority="46" operator="equal">
      <formula>$Q$55</formula>
    </cfRule>
  </conditionalFormatting>
  <conditionalFormatting sqref="R53">
    <cfRule type="cellIs" dxfId="654" priority="43" operator="notEqual">
      <formula>$R$55</formula>
    </cfRule>
    <cfRule type="cellIs" dxfId="653" priority="44" operator="equal">
      <formula>$R$55</formula>
    </cfRule>
  </conditionalFormatting>
  <conditionalFormatting sqref="S53">
    <cfRule type="cellIs" dxfId="652" priority="41" operator="notEqual">
      <formula>$S$55</formula>
    </cfRule>
    <cfRule type="cellIs" dxfId="651" priority="42" operator="equal">
      <formula>$S$55</formula>
    </cfRule>
  </conditionalFormatting>
  <conditionalFormatting sqref="T53">
    <cfRule type="cellIs" dxfId="650" priority="39" operator="notEqual">
      <formula>$T$55</formula>
    </cfRule>
    <cfRule type="cellIs" dxfId="649" priority="40" operator="equal">
      <formula>$T$55</formula>
    </cfRule>
  </conditionalFormatting>
  <conditionalFormatting sqref="U53">
    <cfRule type="cellIs" dxfId="648" priority="37" operator="notEqual">
      <formula>$U$55</formula>
    </cfRule>
    <cfRule type="cellIs" dxfId="647" priority="38" operator="equal">
      <formula>$U$55</formula>
    </cfRule>
  </conditionalFormatting>
  <conditionalFormatting sqref="V53">
    <cfRule type="cellIs" dxfId="646" priority="35" operator="notEqual">
      <formula>$V$55</formula>
    </cfRule>
    <cfRule type="cellIs" dxfId="645" priority="36" operator="equal">
      <formula>$V$55</formula>
    </cfRule>
  </conditionalFormatting>
  <conditionalFormatting sqref="W53">
    <cfRule type="cellIs" dxfId="644" priority="33" operator="notEqual">
      <formula>$W$55</formula>
    </cfRule>
    <cfRule type="cellIs" dxfId="643" priority="34" operator="equal">
      <formula>$W$55</formula>
    </cfRule>
  </conditionalFormatting>
  <conditionalFormatting sqref="X53">
    <cfRule type="cellIs" dxfId="642" priority="31" operator="notEqual">
      <formula>$X$55</formula>
    </cfRule>
    <cfRule type="cellIs" dxfId="641" priority="32" operator="equal">
      <formula>$X$55</formula>
    </cfRule>
  </conditionalFormatting>
  <conditionalFormatting sqref="Y53">
    <cfRule type="cellIs" dxfId="640" priority="29" operator="notEqual">
      <formula>$Y$55</formula>
    </cfRule>
    <cfRule type="cellIs" dxfId="639" priority="30" operator="equal">
      <formula>$Y$55</formula>
    </cfRule>
  </conditionalFormatting>
  <conditionalFormatting sqref="Z53">
    <cfRule type="cellIs" dxfId="638" priority="27" operator="notEqual">
      <formula>$Z$55</formula>
    </cfRule>
    <cfRule type="cellIs" dxfId="637" priority="28" operator="equal">
      <formula>$Z$55</formula>
    </cfRule>
  </conditionalFormatting>
  <conditionalFormatting sqref="AA53">
    <cfRule type="cellIs" dxfId="636" priority="25" operator="notEqual">
      <formula>$AA$55</formula>
    </cfRule>
    <cfRule type="cellIs" dxfId="635" priority="26" operator="equal">
      <formula>$AA$55</formula>
    </cfRule>
  </conditionalFormatting>
  <conditionalFormatting sqref="AB53">
    <cfRule type="cellIs" dxfId="634" priority="23" operator="notEqual">
      <formula>$AB$55</formula>
    </cfRule>
    <cfRule type="cellIs" dxfId="633" priority="24" operator="equal">
      <formula>$AB$55</formula>
    </cfRule>
  </conditionalFormatting>
  <conditionalFormatting sqref="AC53">
    <cfRule type="cellIs" dxfId="632" priority="21" operator="notEqual">
      <formula>$AC$55</formula>
    </cfRule>
    <cfRule type="cellIs" dxfId="631" priority="22" operator="equal">
      <formula>$AC$55</formula>
    </cfRule>
  </conditionalFormatting>
  <conditionalFormatting sqref="AD53">
    <cfRule type="cellIs" dxfId="630" priority="19" operator="notEqual">
      <formula>$AD$55</formula>
    </cfRule>
    <cfRule type="cellIs" dxfId="629" priority="20" operator="equal">
      <formula>$AD$55</formula>
    </cfRule>
  </conditionalFormatting>
  <conditionalFormatting sqref="AE53">
    <cfRule type="cellIs" dxfId="628" priority="17" operator="notEqual">
      <formula>$AE$55</formula>
    </cfRule>
    <cfRule type="cellIs" dxfId="627" priority="18" operator="equal">
      <formula>$AE$55</formula>
    </cfRule>
  </conditionalFormatting>
  <conditionalFormatting sqref="AF53">
    <cfRule type="cellIs" dxfId="626" priority="16" operator="equal">
      <formula>$AF$55</formula>
    </cfRule>
  </conditionalFormatting>
  <conditionalFormatting sqref="AF53">
    <cfRule type="cellIs" dxfId="625" priority="15" operator="notEqual">
      <formula>$AF$55</formula>
    </cfRule>
  </conditionalFormatting>
  <conditionalFormatting sqref="AG53">
    <cfRule type="cellIs" dxfId="624" priority="14" operator="equal">
      <formula>$AG$55</formula>
    </cfRule>
  </conditionalFormatting>
  <conditionalFormatting sqref="AG53">
    <cfRule type="cellIs" dxfId="623" priority="13" operator="notEqual">
      <formula>$AG$55</formula>
    </cfRule>
  </conditionalFormatting>
  <conditionalFormatting sqref="AH53">
    <cfRule type="cellIs" dxfId="622" priority="12" operator="equal">
      <formula>$AH$55</formula>
    </cfRule>
  </conditionalFormatting>
  <conditionalFormatting sqref="AH53">
    <cfRule type="cellIs" dxfId="621" priority="11" operator="notEqual">
      <formula>$AH$55</formula>
    </cfRule>
  </conditionalFormatting>
  <conditionalFormatting sqref="AI53">
    <cfRule type="cellIs" dxfId="620" priority="10" operator="equal">
      <formula>$AI$55</formula>
    </cfRule>
  </conditionalFormatting>
  <conditionalFormatting sqref="AI53">
    <cfRule type="cellIs" dxfId="619" priority="9" operator="notEqual">
      <formula>$AI$55</formula>
    </cfRule>
  </conditionalFormatting>
  <conditionalFormatting sqref="AJ53">
    <cfRule type="cellIs" dxfId="618" priority="8" operator="equal">
      <formula>$AJ$55</formula>
    </cfRule>
  </conditionalFormatting>
  <conditionalFormatting sqref="AJ53">
    <cfRule type="cellIs" dxfId="617" priority="7" operator="notEqual">
      <formula>$AJ$55</formula>
    </cfRule>
  </conditionalFormatting>
  <conditionalFormatting sqref="AK53">
    <cfRule type="cellIs" dxfId="616" priority="6" operator="equal">
      <formula>$AK$55</formula>
    </cfRule>
  </conditionalFormatting>
  <conditionalFormatting sqref="AK53">
    <cfRule type="cellIs" dxfId="615" priority="5" operator="notEqual">
      <formula>$AK$55</formula>
    </cfRule>
  </conditionalFormatting>
  <conditionalFormatting sqref="AL53">
    <cfRule type="cellIs" dxfId="614" priority="4" operator="equal">
      <formula>$AL$55</formula>
    </cfRule>
  </conditionalFormatting>
  <conditionalFormatting sqref="AL53">
    <cfRule type="cellIs" dxfId="613" priority="3" operator="notEqual">
      <formula>$AL$55</formula>
    </cfRule>
  </conditionalFormatting>
  <conditionalFormatting sqref="AM53">
    <cfRule type="cellIs" dxfId="612" priority="2" operator="equal">
      <formula>$AM$55</formula>
    </cfRule>
  </conditionalFormatting>
  <conditionalFormatting sqref="AM53">
    <cfRule type="cellIs" dxfId="611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E20B-DE02-4CDE-BB97-0BDE142BEB60}">
  <dimension ref="A1:AP57"/>
  <sheetViews>
    <sheetView showGridLines="0" topLeftCell="AC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7.855468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.5703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89" t="s">
        <v>60</v>
      </c>
      <c r="B1" s="89" t="s">
        <v>61</v>
      </c>
      <c r="C1" s="89" t="s">
        <v>62</v>
      </c>
      <c r="D1" s="89" t="s">
        <v>63</v>
      </c>
      <c r="E1" s="89" t="s">
        <v>64</v>
      </c>
      <c r="F1" s="89" t="s">
        <v>15</v>
      </c>
      <c r="G1" s="89" t="s">
        <v>66</v>
      </c>
      <c r="H1" s="89" t="s">
        <v>67</v>
      </c>
      <c r="I1" s="89" t="s">
        <v>452</v>
      </c>
      <c r="J1" s="82"/>
      <c r="L1" s="90" t="s">
        <v>472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O1" s="20"/>
      <c r="AP1" s="94" t="s">
        <v>454</v>
      </c>
    </row>
    <row r="2" spans="1:42" ht="11.2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82"/>
      <c r="L2" s="90" t="s">
        <v>351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O2" s="20"/>
      <c r="AP2" s="95"/>
    </row>
    <row r="3" spans="1:42" ht="11.25" customHeight="1" x14ac:dyDescent="0.25">
      <c r="A3" s="89"/>
      <c r="B3" s="89"/>
      <c r="C3" s="89"/>
      <c r="D3" s="89"/>
      <c r="E3" s="89"/>
      <c r="F3" s="89"/>
      <c r="G3" s="89"/>
      <c r="H3" s="89"/>
      <c r="I3" s="89"/>
      <c r="J3" s="82"/>
      <c r="L3" s="90" t="s">
        <v>352</v>
      </c>
      <c r="M3" s="90"/>
      <c r="N3" s="90"/>
      <c r="O3" s="90"/>
      <c r="P3" s="90"/>
      <c r="Q3" s="90"/>
      <c r="R3" s="90"/>
      <c r="S3" s="90"/>
      <c r="T3" s="90"/>
      <c r="U3" s="90" t="s">
        <v>361</v>
      </c>
      <c r="V3" s="90"/>
      <c r="W3" s="90"/>
      <c r="X3" s="90"/>
      <c r="Y3" s="90"/>
      <c r="Z3" s="90"/>
      <c r="AA3" s="90"/>
      <c r="AB3" s="90"/>
      <c r="AC3" s="90" t="s">
        <v>369</v>
      </c>
      <c r="AD3" s="90"/>
      <c r="AE3" s="90" t="s">
        <v>371</v>
      </c>
      <c r="AF3" s="90"/>
      <c r="AG3" s="90"/>
      <c r="AH3" s="90" t="s">
        <v>374</v>
      </c>
      <c r="AI3" s="90"/>
      <c r="AJ3" s="90"/>
      <c r="AK3" s="90"/>
      <c r="AL3" s="90"/>
      <c r="AM3" s="90" t="s">
        <v>360</v>
      </c>
      <c r="AO3" s="20"/>
      <c r="AP3" s="95"/>
    </row>
    <row r="4" spans="1:42" ht="11.25" customHeight="1" x14ac:dyDescent="0.25">
      <c r="A4" s="89"/>
      <c r="B4" s="89"/>
      <c r="C4" s="89"/>
      <c r="D4" s="89"/>
      <c r="E4" s="89"/>
      <c r="F4" s="89"/>
      <c r="G4" s="89"/>
      <c r="H4" s="89"/>
      <c r="I4" s="89"/>
      <c r="J4" s="82"/>
      <c r="L4" s="10" t="s">
        <v>437</v>
      </c>
      <c r="M4" s="10" t="s">
        <v>353</v>
      </c>
      <c r="N4" s="10" t="s">
        <v>354</v>
      </c>
      <c r="O4" s="10" t="s">
        <v>355</v>
      </c>
      <c r="P4" s="10" t="s">
        <v>356</v>
      </c>
      <c r="Q4" s="10" t="s">
        <v>357</v>
      </c>
      <c r="R4" s="10" t="s">
        <v>358</v>
      </c>
      <c r="S4" s="10" t="s">
        <v>359</v>
      </c>
      <c r="T4" s="10" t="s">
        <v>360</v>
      </c>
      <c r="U4" s="10" t="s">
        <v>362</v>
      </c>
      <c r="V4" s="10" t="s">
        <v>363</v>
      </c>
      <c r="W4" s="10" t="s">
        <v>364</v>
      </c>
      <c r="X4" s="10" t="s">
        <v>365</v>
      </c>
      <c r="Y4" s="10" t="s">
        <v>366</v>
      </c>
      <c r="Z4" s="10" t="s">
        <v>367</v>
      </c>
      <c r="AA4" s="10" t="s">
        <v>368</v>
      </c>
      <c r="AB4" s="10" t="s">
        <v>360</v>
      </c>
      <c r="AC4" s="10" t="s">
        <v>370</v>
      </c>
      <c r="AD4" s="10" t="s">
        <v>360</v>
      </c>
      <c r="AE4" s="10" t="s">
        <v>372</v>
      </c>
      <c r="AF4" s="10" t="s">
        <v>373</v>
      </c>
      <c r="AG4" s="10" t="s">
        <v>360</v>
      </c>
      <c r="AH4" s="10" t="s">
        <v>375</v>
      </c>
      <c r="AI4" s="10" t="s">
        <v>376</v>
      </c>
      <c r="AJ4" s="10" t="s">
        <v>377</v>
      </c>
      <c r="AK4" s="10" t="s">
        <v>378</v>
      </c>
      <c r="AL4" s="10" t="s">
        <v>360</v>
      </c>
      <c r="AM4" s="92"/>
      <c r="AO4" s="21" t="s">
        <v>471</v>
      </c>
      <c r="AP4" s="96"/>
    </row>
    <row r="5" spans="1:42" ht="11.25" customHeight="1" x14ac:dyDescent="0.25">
      <c r="A5" s="93" t="s">
        <v>35</v>
      </c>
      <c r="B5" s="93" t="s">
        <v>73</v>
      </c>
      <c r="C5" s="93" t="s">
        <v>25</v>
      </c>
      <c r="D5" s="93" t="s">
        <v>25</v>
      </c>
      <c r="E5" s="93" t="s">
        <v>25</v>
      </c>
      <c r="F5" s="93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137.92373885148962</v>
      </c>
      <c r="AP5" s="20">
        <f ca="1">+'TUSD BE'!$T$5+'TUSD BE'!$AB$5+'TUSD BE'!$AD$5+'TUSD BE'!$AL$5</f>
        <v>137.92373885148962</v>
      </c>
    </row>
    <row r="6" spans="1:42" ht="11.25" customHeight="1" x14ac:dyDescent="0.25">
      <c r="A6" s="93"/>
      <c r="B6" s="93"/>
      <c r="C6" s="93"/>
      <c r="D6" s="93"/>
      <c r="E6" s="93"/>
      <c r="F6" s="93"/>
      <c r="G6" s="18" t="s">
        <v>76</v>
      </c>
      <c r="H6" s="18" t="s">
        <v>74</v>
      </c>
      <c r="I6" s="18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43.002872475659409</v>
      </c>
      <c r="AP6" s="20">
        <f ca="1">+'TUSD BE'!$T$6+'TUSD BE'!$AB$6+'TUSD BE'!$AD$6+'TUSD BE'!$AL$6</f>
        <v>43.002872475659409</v>
      </c>
    </row>
    <row r="7" spans="1:42" ht="11.25" customHeight="1" x14ac:dyDescent="0.25">
      <c r="A7" s="93"/>
      <c r="B7" s="93"/>
      <c r="C7" s="93"/>
      <c r="D7" s="93"/>
      <c r="E7" s="93"/>
      <c r="F7" s="93"/>
      <c r="G7" s="18" t="s">
        <v>77</v>
      </c>
      <c r="H7" s="18" t="s">
        <v>70</v>
      </c>
      <c r="I7" s="18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98.253656054223299</v>
      </c>
      <c r="AP7" s="20">
        <f ca="1">+'TUSD BE'!$T$7+'TUSD BE'!$AB$7+'TUSD BE'!$AD$7+'TUSD BE'!$AL$7</f>
        <v>98.253656054223299</v>
      </c>
    </row>
    <row r="8" spans="1:42" ht="11.25" customHeight="1" x14ac:dyDescent="0.25">
      <c r="A8" s="93"/>
      <c r="B8" s="93"/>
      <c r="C8" s="93"/>
      <c r="D8" s="93"/>
      <c r="E8" s="17" t="s">
        <v>78</v>
      </c>
      <c r="F8" s="17" t="s">
        <v>25</v>
      </c>
      <c r="G8" s="18" t="s">
        <v>77</v>
      </c>
      <c r="H8" s="18" t="s">
        <v>70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6.0426575472642616</v>
      </c>
      <c r="AP8" s="20">
        <f ca="1">+'TUSD BE'!$T$8+'TUSD BE'!$AB$8+'TUSD BE'!$AD$8+'TUSD BE'!$AL$8</f>
        <v>6.0426575472642616</v>
      </c>
    </row>
    <row r="9" spans="1:42" ht="11.25" customHeight="1" x14ac:dyDescent="0.25">
      <c r="A9" s="93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12.365755897812498</v>
      </c>
      <c r="AP9" s="20">
        <f ca="1">+'TUSD BE'!$T$9+'TUSD BE'!$AB$9+'TUSD BE'!$AD$9+'TUSD BE'!$AL$9</f>
        <v>12.365755897812498</v>
      </c>
    </row>
    <row r="10" spans="1:42" ht="11.25" customHeight="1" x14ac:dyDescent="0.25">
      <c r="A10" s="93"/>
      <c r="B10" s="93" t="s">
        <v>36</v>
      </c>
      <c r="C10" s="93" t="s">
        <v>25</v>
      </c>
      <c r="D10" s="93" t="s">
        <v>25</v>
      </c>
      <c r="E10" s="93" t="s">
        <v>25</v>
      </c>
      <c r="F10" s="93" t="s">
        <v>25</v>
      </c>
      <c r="G10" s="18" t="s">
        <v>9</v>
      </c>
      <c r="H10" s="18" t="s">
        <v>74</v>
      </c>
      <c r="I10" s="18">
        <f>'MERCADO TUSD'!$U$7</f>
        <v>33489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43.002872475659409</v>
      </c>
      <c r="AP10" s="20">
        <f ca="1">+'TUSD BE'!$T$10+'TUSD BE'!$AB$10+'TUSD BE'!$AD$10+'TUSD BE'!$AL$10</f>
        <v>43.002872475659409</v>
      </c>
    </row>
    <row r="11" spans="1:42" ht="11.25" customHeight="1" x14ac:dyDescent="0.25">
      <c r="A11" s="93"/>
      <c r="B11" s="93"/>
      <c r="C11" s="93"/>
      <c r="D11" s="93"/>
      <c r="E11" s="93"/>
      <c r="F11" s="93"/>
      <c r="G11" s="18" t="s">
        <v>71</v>
      </c>
      <c r="H11" s="18" t="s">
        <v>70</v>
      </c>
      <c r="I11" s="18">
        <f>'MERCADO TUSD'!$U$8</f>
        <v>232.29900000000001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3415.6624257326134</v>
      </c>
      <c r="AP11" s="20">
        <f ca="1">+'TUSD BE'!$T$11+'TUSD BE'!$AB$11+'TUSD BE'!$AD$11+'TUSD BE'!$AL$11</f>
        <v>3415.6624257326134</v>
      </c>
    </row>
    <row r="12" spans="1:42" ht="11.25" customHeight="1" x14ac:dyDescent="0.25">
      <c r="A12" s="93"/>
      <c r="B12" s="93"/>
      <c r="C12" s="93"/>
      <c r="D12" s="93"/>
      <c r="E12" s="93"/>
      <c r="F12" s="93"/>
      <c r="G12" s="18" t="s">
        <v>72</v>
      </c>
      <c r="H12" s="18" t="s">
        <v>70</v>
      </c>
      <c r="I12" s="18">
        <f>'MERCADO TUSD'!$U$9</f>
        <v>7582.5569999999989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98.253656054223299</v>
      </c>
      <c r="AP12" s="20">
        <f ca="1">+'TUSD BE'!$T$12+'TUSD BE'!$AB$12+'TUSD BE'!$AD$12+'TUSD BE'!$AL$12</f>
        <v>98.253656054223299</v>
      </c>
    </row>
    <row r="13" spans="1:42" ht="11.25" customHeight="1" x14ac:dyDescent="0.25">
      <c r="A13" s="93"/>
      <c r="B13" s="93"/>
      <c r="C13" s="93"/>
      <c r="D13" s="93"/>
      <c r="E13" s="93" t="s">
        <v>78</v>
      </c>
      <c r="F13" s="93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3323.4514272256542</v>
      </c>
      <c r="AP13" s="20">
        <f ca="1">+'TUSD BE'!$T$13+'TUSD BE'!$AB$13+'TUSD BE'!$AD$13+'TUSD BE'!$AL$13</f>
        <v>3323.4514272256542</v>
      </c>
    </row>
    <row r="14" spans="1:42" ht="11.25" customHeight="1" x14ac:dyDescent="0.25">
      <c r="A14" s="93"/>
      <c r="B14" s="93"/>
      <c r="C14" s="93"/>
      <c r="D14" s="93"/>
      <c r="E14" s="93"/>
      <c r="F14" s="93"/>
      <c r="G14" s="18" t="s">
        <v>72</v>
      </c>
      <c r="H14" s="18" t="s">
        <v>70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6.0426575472642616</v>
      </c>
      <c r="AP14" s="20">
        <f ca="1">+'TUSD BE'!$T$14+'TUSD BE'!$AB$14+'TUSD BE'!$AD$14+'TUSD BE'!$AL$14</f>
        <v>6.0426575472642616</v>
      </c>
    </row>
    <row r="15" spans="1:42" ht="11.25" customHeight="1" x14ac:dyDescent="0.25">
      <c r="A15" s="93" t="s">
        <v>80</v>
      </c>
      <c r="B15" s="93" t="s">
        <v>79</v>
      </c>
      <c r="C15" s="93" t="s">
        <v>25</v>
      </c>
      <c r="D15" s="93" t="s">
        <v>25</v>
      </c>
      <c r="E15" s="17" t="s">
        <v>81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13.332223787357682</v>
      </c>
      <c r="AP15" s="20">
        <f ca="1">+'TUSD BE'!$T$15+'TUSD BE'!$AB$15+'TUSD BE'!$AD$15+'TUSD BE'!$AL$15</f>
        <v>13.332223787357682</v>
      </c>
    </row>
    <row r="16" spans="1:42" ht="11.25" customHeight="1" x14ac:dyDescent="0.25">
      <c r="A16" s="93"/>
      <c r="B16" s="93"/>
      <c r="C16" s="93"/>
      <c r="D16" s="93"/>
      <c r="E16" s="17" t="s">
        <v>82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27.112898824268957</v>
      </c>
      <c r="AP16" s="20">
        <f ca="1">+'TUSD BE'!$T$16+'TUSD BE'!$AB$16+'TUSD BE'!$AD$16+'TUSD BE'!$AL$16</f>
        <v>27.112898824268957</v>
      </c>
    </row>
    <row r="17" spans="1:42" ht="11.25" customHeight="1" x14ac:dyDescent="0.25">
      <c r="A17" s="93" t="s">
        <v>22</v>
      </c>
      <c r="B17" s="93" t="s">
        <v>85</v>
      </c>
      <c r="C17" s="93" t="s">
        <v>24</v>
      </c>
      <c r="D17" s="93" t="s">
        <v>24</v>
      </c>
      <c r="E17" s="93" t="s">
        <v>25</v>
      </c>
      <c r="F17" s="93" t="s">
        <v>25</v>
      </c>
      <c r="G17" s="18" t="s">
        <v>71</v>
      </c>
      <c r="H17" s="18" t="s">
        <v>70</v>
      </c>
      <c r="I17" s="18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1585.2547204942389</v>
      </c>
      <c r="AP17" s="20">
        <f ca="1">+'TUSD BE'!$T$17+'TUSD BE'!$AB$17+'TUSD BE'!$AD$17+'TUSD BE'!$AL$17</f>
        <v>1585.2547204942389</v>
      </c>
    </row>
    <row r="18" spans="1:42" ht="11.25" customHeight="1" x14ac:dyDescent="0.25">
      <c r="A18" s="93"/>
      <c r="B18" s="93"/>
      <c r="C18" s="93"/>
      <c r="D18" s="93"/>
      <c r="E18" s="93"/>
      <c r="F18" s="93"/>
      <c r="G18" s="18" t="s">
        <v>83</v>
      </c>
      <c r="H18" s="18" t="s">
        <v>70</v>
      </c>
      <c r="I18" s="18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1000.0697507669034</v>
      </c>
      <c r="AP18" s="20">
        <f ca="1">+'TUSD BE'!$T$18+'TUSD BE'!$AB$18+'TUSD BE'!$AD$18+'TUSD BE'!$AL$18</f>
        <v>1000.0697507669034</v>
      </c>
    </row>
    <row r="19" spans="1:42" ht="11.25" customHeight="1" x14ac:dyDescent="0.25">
      <c r="A19" s="93"/>
      <c r="B19" s="93"/>
      <c r="C19" s="93"/>
      <c r="D19" s="93"/>
      <c r="E19" s="93"/>
      <c r="F19" s="93"/>
      <c r="G19" s="18" t="s">
        <v>72</v>
      </c>
      <c r="H19" s="18" t="s">
        <v>70</v>
      </c>
      <c r="I19" s="18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414.94137297025827</v>
      </c>
      <c r="AP19" s="20">
        <f ca="1">+'TUSD BE'!$T$19+'TUSD BE'!$AB$19+'TUSD BE'!$AD$19+'TUSD BE'!$AL$19</f>
        <v>414.94137297025827</v>
      </c>
    </row>
    <row r="20" spans="1:42" ht="11.25" customHeight="1" x14ac:dyDescent="0.25">
      <c r="A20" s="93"/>
      <c r="B20" s="93" t="s">
        <v>23</v>
      </c>
      <c r="C20" s="93" t="s">
        <v>24</v>
      </c>
      <c r="D20" s="17" t="s">
        <v>24</v>
      </c>
      <c r="E20" s="17" t="s">
        <v>25</v>
      </c>
      <c r="F20" s="17" t="s">
        <v>25</v>
      </c>
      <c r="G20" s="18" t="s">
        <v>77</v>
      </c>
      <c r="H20" s="18" t="s">
        <v>70</v>
      </c>
      <c r="I20" s="18">
        <f>'MERCADO TUSD'!$U$17</f>
        <v>10122.061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664.0764407300062</v>
      </c>
      <c r="AP20" s="20">
        <f ca="1">+'TUSD BE'!$T$20+'TUSD BE'!$AB$20+'TUSD BE'!$AD$20+'TUSD BE'!$AL$20</f>
        <v>664.0764407300062</v>
      </c>
    </row>
    <row r="21" spans="1:42" ht="11.25" customHeight="1" x14ac:dyDescent="0.25">
      <c r="A21" s="93"/>
      <c r="B21" s="93"/>
      <c r="C21" s="93"/>
      <c r="D21" s="17" t="s">
        <v>29</v>
      </c>
      <c r="E21" s="17" t="s">
        <v>25</v>
      </c>
      <c r="F21" s="17" t="s">
        <v>25</v>
      </c>
      <c r="G21" s="18" t="s">
        <v>77</v>
      </c>
      <c r="H21" s="18" t="s">
        <v>70</v>
      </c>
      <c r="I21" s="18">
        <f>'MERCADO TUSD'!$U$18</f>
        <v>111.12200000000001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557.08059114891046</v>
      </c>
      <c r="AP21" s="20">
        <f ca="1">+'TUSD BE'!$T$21+'TUSD BE'!$AB$21+'TUSD BE'!$AD$21+'TUSD BE'!$AL$21</f>
        <v>557.08059114891046</v>
      </c>
    </row>
    <row r="22" spans="1:42" ht="11.25" customHeight="1" x14ac:dyDescent="0.25">
      <c r="A22" s="93"/>
      <c r="B22" s="93"/>
      <c r="C22" s="93"/>
      <c r="D22" s="17" t="s">
        <v>30</v>
      </c>
      <c r="E22" s="17" t="s">
        <v>25</v>
      </c>
      <c r="F22" s="17" t="s">
        <v>25</v>
      </c>
      <c r="G22" s="18" t="s">
        <v>77</v>
      </c>
      <c r="H22" s="18" t="s">
        <v>70</v>
      </c>
      <c r="I22" s="18">
        <f>'MERCADO TUSD'!$U$19</f>
        <v>223.66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557.08059114891046</v>
      </c>
      <c r="AP22" s="20">
        <f ca="1">+'TUSD BE'!$T$22+'TUSD BE'!$AB$22+'TUSD BE'!$AD$22+'TUSD BE'!$AL$22</f>
        <v>557.08059114891046</v>
      </c>
    </row>
    <row r="23" spans="1:42" ht="11.25" customHeight="1" x14ac:dyDescent="0.25">
      <c r="A23" s="93"/>
      <c r="B23" s="93"/>
      <c r="C23" s="93"/>
      <c r="D23" s="17" t="s">
        <v>31</v>
      </c>
      <c r="E23" s="17" t="s">
        <v>25</v>
      </c>
      <c r="F23" s="17" t="s">
        <v>25</v>
      </c>
      <c r="G23" s="18" t="s">
        <v>77</v>
      </c>
      <c r="H23" s="18" t="s">
        <v>70</v>
      </c>
      <c r="I23" s="18">
        <f>'MERCADO TUSD'!$U$20</f>
        <v>229.345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557.08059114891046</v>
      </c>
      <c r="AP23" s="20">
        <f ca="1">+'TUSD BE'!$T$23+'TUSD BE'!$AB$23+'TUSD BE'!$AD$23+'TUSD BE'!$AL$23</f>
        <v>557.08059114891046</v>
      </c>
    </row>
    <row r="24" spans="1:42" ht="11.25" customHeight="1" x14ac:dyDescent="0.25">
      <c r="A24" s="93"/>
      <c r="B24" s="93"/>
      <c r="C24" s="93"/>
      <c r="D24" s="17" t="s">
        <v>32</v>
      </c>
      <c r="E24" s="17" t="s">
        <v>25</v>
      </c>
      <c r="F24" s="17" t="s">
        <v>25</v>
      </c>
      <c r="G24" s="18" t="s">
        <v>77</v>
      </c>
      <c r="H24" s="18" t="s">
        <v>70</v>
      </c>
      <c r="I24" s="18">
        <f>'MERCADO TUSD'!$U$21</f>
        <v>103.19500000000001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557.08059114891046</v>
      </c>
      <c r="AP24" s="20">
        <f ca="1">+'TUSD BE'!$T$24+'TUSD BE'!$AB$24+'TUSD BE'!$AD$24+'TUSD BE'!$AL$24</f>
        <v>557.08059114891046</v>
      </c>
    </row>
    <row r="25" spans="1:42" ht="11.25" customHeight="1" x14ac:dyDescent="0.25">
      <c r="A25" s="93"/>
      <c r="B25" s="93" t="s">
        <v>87</v>
      </c>
      <c r="C25" s="93" t="s">
        <v>24</v>
      </c>
      <c r="D25" s="17" t="s">
        <v>24</v>
      </c>
      <c r="E25" s="17" t="s">
        <v>25</v>
      </c>
      <c r="F25" s="17" t="s">
        <v>25</v>
      </c>
      <c r="G25" s="18" t="s">
        <v>77</v>
      </c>
      <c r="H25" s="18" t="s">
        <v>70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664.0764407300062</v>
      </c>
      <c r="AP25" s="20">
        <f ca="1">+'TUSD BE'!$T$25+'TUSD BE'!$AB$25+'TUSD BE'!$AD$25+'TUSD BE'!$AL$25</f>
        <v>664.0764407300062</v>
      </c>
    </row>
    <row r="26" spans="1:42" ht="11.25" customHeight="1" x14ac:dyDescent="0.25">
      <c r="A26" s="93"/>
      <c r="B26" s="93"/>
      <c r="C26" s="93"/>
      <c r="D26" s="17" t="s">
        <v>29</v>
      </c>
      <c r="E26" s="17" t="s">
        <v>25</v>
      </c>
      <c r="F26" s="17" t="s">
        <v>25</v>
      </c>
      <c r="G26" s="18" t="s">
        <v>77</v>
      </c>
      <c r="H26" s="18" t="s">
        <v>70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557.08059114891046</v>
      </c>
      <c r="AP26" s="20">
        <f ca="1">+'TUSD BE'!$T$26+'TUSD BE'!$AB$26+'TUSD BE'!$AD$26+'TUSD BE'!$AL$26</f>
        <v>557.08059114891046</v>
      </c>
    </row>
    <row r="27" spans="1:42" ht="11.25" customHeight="1" x14ac:dyDescent="0.25">
      <c r="A27" s="93"/>
      <c r="B27" s="93"/>
      <c r="C27" s="93"/>
      <c r="D27" s="17" t="s">
        <v>30</v>
      </c>
      <c r="E27" s="17" t="s">
        <v>25</v>
      </c>
      <c r="F27" s="17" t="s">
        <v>25</v>
      </c>
      <c r="G27" s="18" t="s">
        <v>77</v>
      </c>
      <c r="H27" s="18" t="s">
        <v>70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557.08059114891046</v>
      </c>
      <c r="AP27" s="20">
        <f ca="1">+'TUSD BE'!$T$27+'TUSD BE'!$AB$27+'TUSD BE'!$AD$27+'TUSD BE'!$AL$27</f>
        <v>557.08059114891046</v>
      </c>
    </row>
    <row r="28" spans="1:42" ht="11.25" customHeight="1" x14ac:dyDescent="0.25">
      <c r="A28" s="93"/>
      <c r="B28" s="93"/>
      <c r="C28" s="93"/>
      <c r="D28" s="17" t="s">
        <v>31</v>
      </c>
      <c r="E28" s="17" t="s">
        <v>25</v>
      </c>
      <c r="F28" s="17" t="s">
        <v>25</v>
      </c>
      <c r="G28" s="18" t="s">
        <v>77</v>
      </c>
      <c r="H28" s="18" t="s">
        <v>70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557.08059114891046</v>
      </c>
      <c r="AP28" s="20">
        <f ca="1">+'TUSD BE'!$T$28+'TUSD BE'!$AB$28+'TUSD BE'!$AD$28+'TUSD BE'!$AL$28</f>
        <v>557.08059114891046</v>
      </c>
    </row>
    <row r="29" spans="1:42" ht="11.25" customHeight="1" x14ac:dyDescent="0.25">
      <c r="A29" s="93"/>
      <c r="B29" s="93"/>
      <c r="C29" s="93"/>
      <c r="D29" s="17" t="s">
        <v>32</v>
      </c>
      <c r="E29" s="17" t="s">
        <v>25</v>
      </c>
      <c r="F29" s="17" t="s">
        <v>25</v>
      </c>
      <c r="G29" s="18" t="s">
        <v>77</v>
      </c>
      <c r="H29" s="18" t="s">
        <v>70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557.08059114891046</v>
      </c>
      <c r="AP29" s="20">
        <f ca="1">+'TUSD BE'!$T$29+'TUSD BE'!$AB$29+'TUSD BE'!$AD$29+'TUSD BE'!$AL$29</f>
        <v>557.08059114891046</v>
      </c>
    </row>
    <row r="30" spans="1:42" ht="11.25" customHeight="1" x14ac:dyDescent="0.25">
      <c r="A30" s="93" t="s">
        <v>40</v>
      </c>
      <c r="B30" s="93" t="s">
        <v>85</v>
      </c>
      <c r="C30" s="93" t="s">
        <v>41</v>
      </c>
      <c r="D30" s="93" t="s">
        <v>25</v>
      </c>
      <c r="E30" s="93" t="s">
        <v>25</v>
      </c>
      <c r="F30" s="93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1778.9783443488288</v>
      </c>
      <c r="AP30" s="20">
        <f ca="1">+'TUSD BE'!$T$30+'TUSD BE'!$AB$30+'TUSD BE'!$AD$30+'TUSD BE'!$AL$30</f>
        <v>1778.9783443488288</v>
      </c>
    </row>
    <row r="31" spans="1:42" ht="11.25" customHeight="1" x14ac:dyDescent="0.25">
      <c r="A31" s="93"/>
      <c r="B31" s="93"/>
      <c r="C31" s="93"/>
      <c r="D31" s="93"/>
      <c r="E31" s="93"/>
      <c r="F31" s="93"/>
      <c r="G31" s="18" t="s">
        <v>83</v>
      </c>
      <c r="H31" s="18" t="s">
        <v>70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1116.257156533848</v>
      </c>
      <c r="AP31" s="20">
        <f ca="1">+'TUSD BE'!$T$31+'TUSD BE'!$AB$31+'TUSD BE'!$AD$31+'TUSD BE'!$AL$31</f>
        <v>1116.257156533848</v>
      </c>
    </row>
    <row r="32" spans="1:42" ht="11.25" customHeight="1" x14ac:dyDescent="0.25">
      <c r="A32" s="93"/>
      <c r="B32" s="93"/>
      <c r="C32" s="93"/>
      <c r="D32" s="93"/>
      <c r="E32" s="93"/>
      <c r="F32" s="93"/>
      <c r="G32" s="18" t="s">
        <v>72</v>
      </c>
      <c r="H32" s="18" t="s">
        <v>70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453.59396862488541</v>
      </c>
      <c r="AP32" s="20">
        <f ca="1">+'TUSD BE'!$T$32+'TUSD BE'!$AB$32+'TUSD BE'!$AD$32+'TUSD BE'!$AL$32</f>
        <v>453.59396862488541</v>
      </c>
    </row>
    <row r="33" spans="1:42" ht="11.25" customHeight="1" x14ac:dyDescent="0.25">
      <c r="A33" s="93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77</v>
      </c>
      <c r="H33" s="18" t="s">
        <v>70</v>
      </c>
      <c r="I33" s="18">
        <f>'MERCADO TUSD'!$U$30</f>
        <v>3283.42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664.0764407300062</v>
      </c>
      <c r="AP33" s="20">
        <f ca="1">+'TUSD BE'!$T$33+'TUSD BE'!$AB$33+'TUSD BE'!$AD$33+'TUSD BE'!$AL$33</f>
        <v>664.0764407300062</v>
      </c>
    </row>
    <row r="34" spans="1:42" ht="11.25" customHeight="1" x14ac:dyDescent="0.25">
      <c r="A34" s="93"/>
      <c r="B34" s="93" t="s">
        <v>85</v>
      </c>
      <c r="C34" s="93" t="s">
        <v>41</v>
      </c>
      <c r="D34" s="93" t="s">
        <v>88</v>
      </c>
      <c r="E34" s="93" t="s">
        <v>25</v>
      </c>
      <c r="F34" s="93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1778.9783443488288</v>
      </c>
      <c r="AP34" s="20">
        <f ca="1">+'TUSD BE'!$T$34+'TUSD BE'!$AB$34+'TUSD BE'!$AD$34+'TUSD BE'!$AL$34</f>
        <v>1778.9783443488288</v>
      </c>
    </row>
    <row r="35" spans="1:42" ht="11.25" customHeight="1" x14ac:dyDescent="0.25">
      <c r="A35" s="93"/>
      <c r="B35" s="93"/>
      <c r="C35" s="93"/>
      <c r="D35" s="93"/>
      <c r="E35" s="93"/>
      <c r="F35" s="93"/>
      <c r="G35" s="18" t="s">
        <v>83</v>
      </c>
      <c r="H35" s="18" t="s">
        <v>70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1116.257156533848</v>
      </c>
      <c r="AP35" s="20">
        <f ca="1">+'TUSD BE'!$T$35+'TUSD BE'!$AB$35+'TUSD BE'!$AD$35+'TUSD BE'!$AL$35</f>
        <v>1116.257156533848</v>
      </c>
    </row>
    <row r="36" spans="1:42" ht="11.25" customHeight="1" x14ac:dyDescent="0.25">
      <c r="A36" s="93"/>
      <c r="B36" s="93"/>
      <c r="C36" s="93"/>
      <c r="D36" s="93"/>
      <c r="E36" s="93"/>
      <c r="F36" s="93"/>
      <c r="G36" s="18" t="s">
        <v>72</v>
      </c>
      <c r="H36" s="18" t="s">
        <v>70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453.59396862488541</v>
      </c>
      <c r="AP36" s="20">
        <f ca="1">+'TUSD BE'!$T$36+'TUSD BE'!$AB$36+'TUSD BE'!$AD$36+'TUSD BE'!$AL$36</f>
        <v>453.59396862488541</v>
      </c>
    </row>
    <row r="37" spans="1:42" ht="11.25" customHeight="1" x14ac:dyDescent="0.25">
      <c r="A37" s="93"/>
      <c r="B37" s="17" t="s">
        <v>23</v>
      </c>
      <c r="C37" s="17" t="s">
        <v>41</v>
      </c>
      <c r="D37" s="17" t="s">
        <v>88</v>
      </c>
      <c r="E37" s="17" t="s">
        <v>25</v>
      </c>
      <c r="F37" s="17" t="s">
        <v>25</v>
      </c>
      <c r="G37" s="18" t="s">
        <v>77</v>
      </c>
      <c r="H37" s="18" t="s">
        <v>70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664.0764407300062</v>
      </c>
      <c r="AP37" s="20">
        <f ca="1">+'TUSD BE'!$T$37+'TUSD BE'!$AB$37+'TUSD BE'!$AD$37+'TUSD BE'!$AL$37</f>
        <v>664.0764407300062</v>
      </c>
    </row>
    <row r="38" spans="1:42" ht="11.25" customHeight="1" x14ac:dyDescent="0.25">
      <c r="A38" s="93"/>
      <c r="B38" s="93" t="s">
        <v>85</v>
      </c>
      <c r="C38" s="93" t="s">
        <v>41</v>
      </c>
      <c r="D38" s="93" t="s">
        <v>89</v>
      </c>
      <c r="E38" s="93" t="s">
        <v>25</v>
      </c>
      <c r="F38" s="93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1778.9783443488288</v>
      </c>
      <c r="AP38" s="20">
        <f ca="1">+'TUSD BE'!$T$38+'TUSD BE'!$AB$38+'TUSD BE'!$AD$38+'TUSD BE'!$AL$38</f>
        <v>1778.9783443488288</v>
      </c>
    </row>
    <row r="39" spans="1:42" ht="11.25" customHeight="1" x14ac:dyDescent="0.25">
      <c r="A39" s="93"/>
      <c r="B39" s="93"/>
      <c r="C39" s="93"/>
      <c r="D39" s="93"/>
      <c r="E39" s="93"/>
      <c r="F39" s="93"/>
      <c r="G39" s="18" t="s">
        <v>83</v>
      </c>
      <c r="H39" s="18" t="s">
        <v>70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1116.257156533848</v>
      </c>
      <c r="AP39" s="20">
        <f ca="1">+'TUSD BE'!$T$39+'TUSD BE'!$AB$39+'TUSD BE'!$AD$39+'TUSD BE'!$AL$39</f>
        <v>1116.257156533848</v>
      </c>
    </row>
    <row r="40" spans="1:42" ht="11.25" customHeight="1" x14ac:dyDescent="0.25">
      <c r="A40" s="93"/>
      <c r="B40" s="93"/>
      <c r="C40" s="93"/>
      <c r="D40" s="93"/>
      <c r="E40" s="93"/>
      <c r="F40" s="93"/>
      <c r="G40" s="18" t="s">
        <v>72</v>
      </c>
      <c r="H40" s="18" t="s">
        <v>70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453.59396862488541</v>
      </c>
      <c r="AP40" s="20">
        <f ca="1">+'TUSD BE'!$T$40+'TUSD BE'!$AB$40+'TUSD BE'!$AD$40+'TUSD BE'!$AL$40</f>
        <v>453.59396862488541</v>
      </c>
    </row>
    <row r="41" spans="1:42" ht="11.25" customHeight="1" x14ac:dyDescent="0.25">
      <c r="A41" s="93"/>
      <c r="B41" s="17" t="s">
        <v>23</v>
      </c>
      <c r="C41" s="17" t="s">
        <v>41</v>
      </c>
      <c r="D41" s="17" t="s">
        <v>89</v>
      </c>
      <c r="E41" s="17" t="s">
        <v>25</v>
      </c>
      <c r="F41" s="17" t="s">
        <v>25</v>
      </c>
      <c r="G41" s="18" t="s">
        <v>77</v>
      </c>
      <c r="H41" s="18" t="s">
        <v>70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664.0764407300062</v>
      </c>
      <c r="AP41" s="20">
        <f ca="1">+'TUSD BE'!$T$41+'TUSD BE'!$AB$41+'TUSD BE'!$AD$41+'TUSD BE'!$AL$41</f>
        <v>664.0764407300062</v>
      </c>
    </row>
    <row r="42" spans="1:42" ht="11.25" customHeight="1" x14ac:dyDescent="0.25">
      <c r="A42" s="93"/>
      <c r="B42" s="93" t="s">
        <v>87</v>
      </c>
      <c r="C42" s="93" t="s">
        <v>41</v>
      </c>
      <c r="D42" s="17" t="s">
        <v>25</v>
      </c>
      <c r="E42" s="17" t="s">
        <v>25</v>
      </c>
      <c r="F42" s="17" t="s">
        <v>25</v>
      </c>
      <c r="G42" s="18" t="s">
        <v>77</v>
      </c>
      <c r="H42" s="18" t="s">
        <v>70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664.0764407300062</v>
      </c>
      <c r="AP42" s="20">
        <f ca="1">+'TUSD BE'!$T$42+'TUSD BE'!$AB$42+'TUSD BE'!$AD$42+'TUSD BE'!$AL$42</f>
        <v>664.0764407300062</v>
      </c>
    </row>
    <row r="43" spans="1:42" ht="11.25" customHeight="1" x14ac:dyDescent="0.25">
      <c r="A43" s="93"/>
      <c r="B43" s="93"/>
      <c r="C43" s="93"/>
      <c r="D43" s="17" t="s">
        <v>88</v>
      </c>
      <c r="E43" s="17" t="s">
        <v>25</v>
      </c>
      <c r="F43" s="17" t="s">
        <v>25</v>
      </c>
      <c r="G43" s="18" t="s">
        <v>77</v>
      </c>
      <c r="H43" s="18" t="s">
        <v>70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664.0764407300062</v>
      </c>
      <c r="AP43" s="20">
        <f ca="1">+'TUSD BE'!$T$43+'TUSD BE'!$AB$43+'TUSD BE'!$AD$43+'TUSD BE'!$AL$43</f>
        <v>664.0764407300062</v>
      </c>
    </row>
    <row r="44" spans="1:42" ht="11.25" customHeight="1" x14ac:dyDescent="0.25">
      <c r="A44" s="93"/>
      <c r="B44" s="93"/>
      <c r="C44" s="93"/>
      <c r="D44" s="17" t="s">
        <v>89</v>
      </c>
      <c r="E44" s="17" t="s">
        <v>25</v>
      </c>
      <c r="F44" s="17" t="s">
        <v>25</v>
      </c>
      <c r="G44" s="18" t="s">
        <v>77</v>
      </c>
      <c r="H44" s="18" t="s">
        <v>70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664.0764407300062</v>
      </c>
      <c r="AP44" s="20">
        <f ca="1">+'TUSD BE'!$T$44+'TUSD BE'!$AB$44+'TUSD BE'!$AD$44+'TUSD BE'!$AL$44</f>
        <v>664.0764407300062</v>
      </c>
    </row>
    <row r="45" spans="1:42" ht="11.25" customHeight="1" x14ac:dyDescent="0.25">
      <c r="A45" s="93" t="s">
        <v>33</v>
      </c>
      <c r="B45" s="93" t="s">
        <v>85</v>
      </c>
      <c r="C45" s="93" t="s">
        <v>25</v>
      </c>
      <c r="D45" s="93" t="s">
        <v>25</v>
      </c>
      <c r="E45" s="93" t="s">
        <v>25</v>
      </c>
      <c r="F45" s="93" t="s">
        <v>25</v>
      </c>
      <c r="G45" s="18" t="s">
        <v>71</v>
      </c>
      <c r="H45" s="18" t="s">
        <v>70</v>
      </c>
      <c r="I45" s="18">
        <f>'MERCADO TUSD'!$U$42</f>
        <v>0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1991.5504247361223</v>
      </c>
      <c r="AP45" s="20">
        <f ca="1">+'TUSD BE'!$T$45+'TUSD BE'!$AB$45+'TUSD BE'!$AD$45+'TUSD BE'!$AL$45</f>
        <v>1991.5504247361223</v>
      </c>
    </row>
    <row r="46" spans="1:42" ht="11.25" customHeight="1" x14ac:dyDescent="0.25">
      <c r="A46" s="93"/>
      <c r="B46" s="93"/>
      <c r="C46" s="93"/>
      <c r="D46" s="93"/>
      <c r="E46" s="93"/>
      <c r="F46" s="93"/>
      <c r="G46" s="18" t="s">
        <v>83</v>
      </c>
      <c r="H46" s="18" t="s">
        <v>70</v>
      </c>
      <c r="I46" s="18">
        <f>'MERCADO TUSD'!$U$43</f>
        <v>0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1243.8004698400073</v>
      </c>
      <c r="AP46" s="20">
        <f ca="1">+'TUSD BE'!$T$46+'TUSD BE'!$AB$46+'TUSD BE'!$AD$46+'TUSD BE'!$AL$46</f>
        <v>1243.8004698400073</v>
      </c>
    </row>
    <row r="47" spans="1:42" ht="11.25" customHeight="1" x14ac:dyDescent="0.25">
      <c r="A47" s="93"/>
      <c r="B47" s="93"/>
      <c r="C47" s="93"/>
      <c r="D47" s="93"/>
      <c r="E47" s="93"/>
      <c r="F47" s="93"/>
      <c r="G47" s="18" t="s">
        <v>72</v>
      </c>
      <c r="H47" s="18" t="s">
        <v>70</v>
      </c>
      <c r="I47" s="18">
        <f>'MERCADO TUSD'!$U$44</f>
        <v>0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496.10873176252045</v>
      </c>
      <c r="AP47" s="20">
        <f ca="1">+'TUSD BE'!$T$47+'TUSD BE'!$AB$47+'TUSD BE'!$AD$47+'TUSD BE'!$AL$47</f>
        <v>496.10873176252045</v>
      </c>
    </row>
    <row r="48" spans="1:42" ht="11.25" customHeight="1" x14ac:dyDescent="0.25">
      <c r="A48" s="93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77</v>
      </c>
      <c r="H48" s="18" t="s">
        <v>70</v>
      </c>
      <c r="I48" s="18">
        <f>'MERCADO TUSD'!$U$45</f>
        <v>4711.0929999999998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664.0764407300062</v>
      </c>
      <c r="AP48" s="20">
        <f ca="1">+'TUSD BE'!$T$48+'TUSD BE'!$AB$48+'TUSD BE'!$AD$48+'TUSD BE'!$AL$48</f>
        <v>664.0764407300062</v>
      </c>
    </row>
    <row r="49" spans="1:42" ht="11.25" customHeight="1" x14ac:dyDescent="0.25">
      <c r="A49" s="93"/>
      <c r="B49" s="17" t="s">
        <v>87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77</v>
      </c>
      <c r="H49" s="18" t="s">
        <v>70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664.0764407300062</v>
      </c>
      <c r="AP49" s="20">
        <f ca="1">+'TUSD BE'!$T$49+'TUSD BE'!$AB$49+'TUSD BE'!$AD$49+'TUSD BE'!$AL$49</f>
        <v>664.0764407300062</v>
      </c>
    </row>
    <row r="50" spans="1:42" ht="11.25" customHeight="1" x14ac:dyDescent="0.25">
      <c r="A50" s="93" t="s">
        <v>43</v>
      </c>
      <c r="B50" s="93" t="s">
        <v>23</v>
      </c>
      <c r="C50" s="93" t="s">
        <v>44</v>
      </c>
      <c r="D50" s="17" t="s">
        <v>45</v>
      </c>
      <c r="E50" s="17" t="s">
        <v>25</v>
      </c>
      <c r="F50" s="17" t="s">
        <v>25</v>
      </c>
      <c r="G50" s="18" t="s">
        <v>77</v>
      </c>
      <c r="H50" s="18" t="s">
        <v>70</v>
      </c>
      <c r="I50" s="18">
        <f>'MERCADO TUSD'!$U$47</f>
        <v>1954.79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365.2420424015034</v>
      </c>
      <c r="AP50" s="20">
        <f ca="1">+'TUSD BE'!$T$50+'TUSD BE'!$AB$50+'TUSD BE'!$AD$50+'TUSD BE'!$AL$50</f>
        <v>365.2420424015034</v>
      </c>
    </row>
    <row r="51" spans="1:42" ht="11.25" customHeight="1" x14ac:dyDescent="0.25">
      <c r="A51" s="93"/>
      <c r="B51" s="93"/>
      <c r="C51" s="93"/>
      <c r="D51" s="18" t="s">
        <v>46</v>
      </c>
      <c r="E51" s="18" t="s">
        <v>25</v>
      </c>
      <c r="F51" s="18" t="s">
        <v>25</v>
      </c>
      <c r="G51" s="18" t="s">
        <v>77</v>
      </c>
      <c r="H51" s="18" t="s">
        <v>70</v>
      </c>
      <c r="I51" s="18">
        <f>'MERCADO TUSD'!$U$48</f>
        <v>1.4530000000000001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398.44586443800364</v>
      </c>
      <c r="AP51" s="20">
        <f ca="1">+'TUSD BE'!$T$51+'TUSD BE'!$AB$51+'TUSD BE'!$AD$51+'TUSD BE'!$AL$51</f>
        <v>398.44586443800364</v>
      </c>
    </row>
    <row r="53" spans="1:42" ht="11.25" customHeight="1" x14ac:dyDescent="0.25">
      <c r="K53" s="16" t="s">
        <v>461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16095684.657958074</v>
      </c>
      <c r="AP53" s="18">
        <f ca="1">SUMPRODUCT($I$5:$I51,$AP$5:$AP51)</f>
        <v>16095684.657958074</v>
      </c>
    </row>
    <row r="54" spans="1:42" ht="11.25" customHeight="1" x14ac:dyDescent="0.25">
      <c r="K54" s="16" t="s">
        <v>393</v>
      </c>
      <c r="L54" s="13">
        <f>'TR TUSD'!$L$56</f>
        <v>0</v>
      </c>
      <c r="M54" s="13">
        <f>'TR TUSD'!$M$56</f>
        <v>43806.02794658357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2380089.2903099996</v>
      </c>
      <c r="R54" s="13">
        <f>'TR TUSD'!$R$56</f>
        <v>394052.81948999997</v>
      </c>
      <c r="S54" s="13">
        <f>'TR TUSD'!$S$56</f>
        <v>0</v>
      </c>
      <c r="T54" s="13">
        <f>'TR TUSD'!$T$56</f>
        <v>2817948.1377465832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3000554.5575799998</v>
      </c>
      <c r="Z54" s="13">
        <f>'TR TUSD'!$Z$56</f>
        <v>0</v>
      </c>
      <c r="AA54" s="13">
        <f>'TR TUSD'!$AA$56</f>
        <v>0</v>
      </c>
      <c r="AB54" s="13">
        <f>'TR TUSD'!$AB$56</f>
        <v>3000554.5575799998</v>
      </c>
      <c r="AC54" s="13">
        <f>'TR TUSD'!$AC$56</f>
        <v>9970000</v>
      </c>
      <c r="AD54" s="13">
        <f>'TR TUSD'!$AD$56</f>
        <v>9970000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307181.96263148834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307181.96263148834</v>
      </c>
      <c r="AM54" s="13">
        <f>CUSTOS!$D$29</f>
        <v>16095684.657958072</v>
      </c>
      <c r="AO54" s="18">
        <f>$AE$56</f>
        <v>0</v>
      </c>
      <c r="AP54" s="18">
        <f>$AF$56</f>
        <v>0</v>
      </c>
    </row>
    <row r="55" spans="1:42" ht="11.25" customHeight="1" x14ac:dyDescent="0.25">
      <c r="K55" s="16" t="s">
        <v>394</v>
      </c>
      <c r="L55" s="13">
        <f>CUSTOS!$E$2</f>
        <v>0</v>
      </c>
      <c r="M55" s="13">
        <f>CUSTOS!$E$3</f>
        <v>-650.1728378535588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-11615.655628564573</v>
      </c>
      <c r="R55" s="13">
        <f>CUSTOS!$E$8</f>
        <v>-1842.6577454173989</v>
      </c>
      <c r="S55" s="13">
        <f>CUSTOS!$E$9</f>
        <v>0</v>
      </c>
      <c r="T55" s="13">
        <f>CUSTOS!$E$10</f>
        <v>-14108.48621183553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147750.74491294715</v>
      </c>
      <c r="Z55" s="13">
        <f>CUSTOS!$E$16</f>
        <v>0</v>
      </c>
      <c r="AA55" s="13">
        <f>CUSTOS!$E$17</f>
        <v>0</v>
      </c>
      <c r="AB55" s="13">
        <f>CUSTOS!$E$18</f>
        <v>147750.74491294715</v>
      </c>
      <c r="AC55" s="13">
        <f>CUSTOS!$E$19</f>
        <v>-3251682.4567118082</v>
      </c>
      <c r="AD55" s="13">
        <f>CUSTOS!$E$20</f>
        <v>-3251682.4567118082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-20583.934780884403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-20583.934780884403</v>
      </c>
      <c r="AM55" s="13">
        <f>CUSTOS!$E$29</f>
        <v>-3138624.1327915811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25">
      <c r="K56" s="16" t="s">
        <v>395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458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610" priority="55" operator="notEqual">
      <formula>$L$56</formula>
    </cfRule>
    <cfRule type="cellIs" dxfId="609" priority="56" operator="equal">
      <formula>$L$56</formula>
    </cfRule>
  </conditionalFormatting>
  <conditionalFormatting sqref="M53">
    <cfRule type="cellIs" dxfId="608" priority="53" operator="notEqual">
      <formula>$M$56</formula>
    </cfRule>
    <cfRule type="cellIs" dxfId="607" priority="54" operator="equal">
      <formula>$M$56</formula>
    </cfRule>
  </conditionalFormatting>
  <conditionalFormatting sqref="N53">
    <cfRule type="cellIs" dxfId="606" priority="51" operator="notEqual">
      <formula>$N$56</formula>
    </cfRule>
    <cfRule type="cellIs" dxfId="605" priority="52" operator="equal">
      <formula>$N$56</formula>
    </cfRule>
  </conditionalFormatting>
  <conditionalFormatting sqref="O53">
    <cfRule type="cellIs" dxfId="604" priority="49" operator="notEqual">
      <formula>$O$56</formula>
    </cfRule>
    <cfRule type="cellIs" dxfId="603" priority="50" operator="equal">
      <formula>$O$56</formula>
    </cfRule>
  </conditionalFormatting>
  <conditionalFormatting sqref="P53">
    <cfRule type="cellIs" dxfId="602" priority="47" operator="notEqual">
      <formula>$P$56</formula>
    </cfRule>
    <cfRule type="cellIs" dxfId="601" priority="48" operator="equal">
      <formula>$P$56</formula>
    </cfRule>
  </conditionalFormatting>
  <conditionalFormatting sqref="Q53">
    <cfRule type="cellIs" dxfId="600" priority="45" operator="notEqual">
      <formula>$Q$56</formula>
    </cfRule>
    <cfRule type="cellIs" dxfId="599" priority="46" operator="equal">
      <formula>$Q$56</formula>
    </cfRule>
  </conditionalFormatting>
  <conditionalFormatting sqref="R53">
    <cfRule type="cellIs" dxfId="598" priority="43" operator="notEqual">
      <formula>$R$56</formula>
    </cfRule>
    <cfRule type="cellIs" dxfId="597" priority="44" operator="equal">
      <formula>$R$56</formula>
    </cfRule>
  </conditionalFormatting>
  <conditionalFormatting sqref="S53">
    <cfRule type="cellIs" dxfId="596" priority="41" operator="notEqual">
      <formula>$S$56</formula>
    </cfRule>
    <cfRule type="cellIs" dxfId="595" priority="42" operator="equal">
      <formula>$S$56</formula>
    </cfRule>
  </conditionalFormatting>
  <conditionalFormatting sqref="T53">
    <cfRule type="cellIs" dxfId="594" priority="39" operator="notEqual">
      <formula>$T$56</formula>
    </cfRule>
    <cfRule type="cellIs" dxfId="593" priority="40" operator="equal">
      <formula>$T$56</formula>
    </cfRule>
  </conditionalFormatting>
  <conditionalFormatting sqref="U53">
    <cfRule type="cellIs" dxfId="592" priority="37" operator="notEqual">
      <formula>$U$56</formula>
    </cfRule>
    <cfRule type="cellIs" dxfId="591" priority="38" operator="equal">
      <formula>$U$56</formula>
    </cfRule>
  </conditionalFormatting>
  <conditionalFormatting sqref="V53">
    <cfRule type="cellIs" dxfId="590" priority="35" operator="notEqual">
      <formula>$V$56</formula>
    </cfRule>
    <cfRule type="cellIs" dxfId="589" priority="36" operator="equal">
      <formula>$V$56</formula>
    </cfRule>
  </conditionalFormatting>
  <conditionalFormatting sqref="W53">
    <cfRule type="cellIs" dxfId="588" priority="33" operator="notEqual">
      <formula>$W$56</formula>
    </cfRule>
    <cfRule type="cellIs" dxfId="587" priority="34" operator="equal">
      <formula>$W$56</formula>
    </cfRule>
  </conditionalFormatting>
  <conditionalFormatting sqref="X53">
    <cfRule type="cellIs" dxfId="586" priority="31" operator="notEqual">
      <formula>$X$56</formula>
    </cfRule>
    <cfRule type="cellIs" dxfId="585" priority="32" operator="equal">
      <formula>$X$56</formula>
    </cfRule>
  </conditionalFormatting>
  <conditionalFormatting sqref="Y53">
    <cfRule type="cellIs" dxfId="584" priority="29" operator="notEqual">
      <formula>$Y$56</formula>
    </cfRule>
    <cfRule type="cellIs" dxfId="583" priority="30" operator="equal">
      <formula>$Y$56</formula>
    </cfRule>
  </conditionalFormatting>
  <conditionalFormatting sqref="Z53">
    <cfRule type="cellIs" dxfId="582" priority="27" operator="notEqual">
      <formula>$Z$56</formula>
    </cfRule>
    <cfRule type="cellIs" dxfId="581" priority="28" operator="equal">
      <formula>$Z$56</formula>
    </cfRule>
  </conditionalFormatting>
  <conditionalFormatting sqref="AA53">
    <cfRule type="cellIs" dxfId="580" priority="25" operator="notEqual">
      <formula>$AA$56</formula>
    </cfRule>
    <cfRule type="cellIs" dxfId="579" priority="26" operator="equal">
      <formula>$AA$56</formula>
    </cfRule>
  </conditionalFormatting>
  <conditionalFormatting sqref="AB53">
    <cfRule type="cellIs" dxfId="578" priority="23" operator="notEqual">
      <formula>$AB$56</formula>
    </cfRule>
    <cfRule type="cellIs" dxfId="577" priority="24" operator="equal">
      <formula>$AB$56</formula>
    </cfRule>
  </conditionalFormatting>
  <conditionalFormatting sqref="AC53">
    <cfRule type="cellIs" dxfId="576" priority="21" operator="notEqual">
      <formula>$AC$56</formula>
    </cfRule>
    <cfRule type="cellIs" dxfId="575" priority="22" operator="equal">
      <formula>$AC$56</formula>
    </cfRule>
  </conditionalFormatting>
  <conditionalFormatting sqref="AD53">
    <cfRule type="cellIs" dxfId="574" priority="19" operator="notEqual">
      <formula>$AD$56</formula>
    </cfRule>
    <cfRule type="cellIs" dxfId="573" priority="20" operator="equal">
      <formula>$AD$56</formula>
    </cfRule>
  </conditionalFormatting>
  <conditionalFormatting sqref="AE53">
    <cfRule type="cellIs" dxfId="572" priority="17" operator="notEqual">
      <formula>$AE$56</formula>
    </cfRule>
    <cfRule type="cellIs" dxfId="571" priority="18" operator="equal">
      <formula>$AE$56</formula>
    </cfRule>
  </conditionalFormatting>
  <conditionalFormatting sqref="AF53">
    <cfRule type="cellIs" dxfId="570" priority="16" operator="equal">
      <formula>$AF$56</formula>
    </cfRule>
  </conditionalFormatting>
  <conditionalFormatting sqref="AF53">
    <cfRule type="cellIs" dxfId="569" priority="15" operator="notEqual">
      <formula>$AF$56</formula>
    </cfRule>
  </conditionalFormatting>
  <conditionalFormatting sqref="AG53">
    <cfRule type="cellIs" dxfId="568" priority="14" operator="equal">
      <formula>$AG$56</formula>
    </cfRule>
  </conditionalFormatting>
  <conditionalFormatting sqref="AG53">
    <cfRule type="cellIs" dxfId="567" priority="13" operator="notEqual">
      <formula>$AG$56</formula>
    </cfRule>
  </conditionalFormatting>
  <conditionalFormatting sqref="AH53">
    <cfRule type="cellIs" dxfId="566" priority="12" operator="equal">
      <formula>$AH$56</formula>
    </cfRule>
  </conditionalFormatting>
  <conditionalFormatting sqref="AH53">
    <cfRule type="cellIs" dxfId="565" priority="11" operator="notEqual">
      <formula>$AH$56</formula>
    </cfRule>
  </conditionalFormatting>
  <conditionalFormatting sqref="AI53">
    <cfRule type="cellIs" dxfId="564" priority="10" operator="equal">
      <formula>$AI$56</formula>
    </cfRule>
  </conditionalFormatting>
  <conditionalFormatting sqref="AI53">
    <cfRule type="cellIs" dxfId="563" priority="9" operator="notEqual">
      <formula>$AI$56</formula>
    </cfRule>
  </conditionalFormatting>
  <conditionalFormatting sqref="AJ53">
    <cfRule type="cellIs" dxfId="562" priority="8" operator="equal">
      <formula>$AJ$56</formula>
    </cfRule>
  </conditionalFormatting>
  <conditionalFormatting sqref="AJ53">
    <cfRule type="cellIs" dxfId="561" priority="7" operator="notEqual">
      <formula>$AJ$56</formula>
    </cfRule>
  </conditionalFormatting>
  <conditionalFormatting sqref="AK53">
    <cfRule type="cellIs" dxfId="560" priority="6" operator="equal">
      <formula>$AK$56</formula>
    </cfRule>
  </conditionalFormatting>
  <conditionalFormatting sqref="AK53">
    <cfRule type="cellIs" dxfId="559" priority="5" operator="notEqual">
      <formula>$AK$56</formula>
    </cfRule>
  </conditionalFormatting>
  <conditionalFormatting sqref="AL53">
    <cfRule type="cellIs" dxfId="558" priority="4" operator="equal">
      <formula>$AL$56</formula>
    </cfRule>
  </conditionalFormatting>
  <conditionalFormatting sqref="AL53">
    <cfRule type="cellIs" dxfId="557" priority="3" operator="notEqual">
      <formula>$AL$56</formula>
    </cfRule>
  </conditionalFormatting>
  <conditionalFormatting sqref="AM53">
    <cfRule type="cellIs" dxfId="556" priority="2" operator="equal">
      <formula>$AM$56</formula>
    </cfRule>
  </conditionalFormatting>
  <conditionalFormatting sqref="AM53">
    <cfRule type="cellIs" dxfId="555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2F17-CA7B-4443-BCE4-47DAE0BD654C}">
  <dimension ref="A1:AB49"/>
  <sheetViews>
    <sheetView showGridLines="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98" t="s">
        <v>60</v>
      </c>
      <c r="B1" s="98" t="s">
        <v>61</v>
      </c>
      <c r="C1" s="98" t="s">
        <v>62</v>
      </c>
      <c r="D1" s="98" t="s">
        <v>63</v>
      </c>
      <c r="E1" s="98" t="s">
        <v>64</v>
      </c>
      <c r="F1" s="98" t="s">
        <v>15</v>
      </c>
      <c r="G1" s="98" t="s">
        <v>66</v>
      </c>
      <c r="H1" s="98" t="s">
        <v>67</v>
      </c>
      <c r="I1" s="98" t="s">
        <v>452</v>
      </c>
      <c r="J1" s="82"/>
      <c r="L1" s="99" t="s">
        <v>473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</row>
    <row r="2" spans="1:28" ht="11.25" customHeight="1" x14ac:dyDescent="0.25">
      <c r="A2" s="98"/>
      <c r="B2" s="98"/>
      <c r="C2" s="98"/>
      <c r="D2" s="98"/>
      <c r="E2" s="98"/>
      <c r="F2" s="98"/>
      <c r="G2" s="98"/>
      <c r="H2" s="98"/>
      <c r="I2" s="98"/>
      <c r="J2" s="82"/>
      <c r="L2" s="99" t="s">
        <v>379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</row>
    <row r="3" spans="1:28" ht="11.25" customHeight="1" x14ac:dyDescent="0.25">
      <c r="A3" s="98"/>
      <c r="B3" s="98"/>
      <c r="C3" s="98"/>
      <c r="D3" s="98"/>
      <c r="E3" s="98"/>
      <c r="F3" s="98"/>
      <c r="G3" s="98"/>
      <c r="H3" s="98"/>
      <c r="I3" s="98"/>
      <c r="J3" s="82"/>
      <c r="L3" s="99" t="s">
        <v>352</v>
      </c>
      <c r="M3" s="99"/>
      <c r="N3" s="99"/>
      <c r="O3" s="99"/>
      <c r="P3" s="99"/>
      <c r="Q3" s="99"/>
      <c r="R3" s="99" t="s">
        <v>383</v>
      </c>
      <c r="S3" s="99"/>
      <c r="T3" s="99" t="s">
        <v>361</v>
      </c>
      <c r="U3" s="99"/>
      <c r="V3" s="99"/>
      <c r="W3" s="99"/>
      <c r="X3" s="99" t="s">
        <v>371</v>
      </c>
      <c r="Y3" s="99"/>
      <c r="Z3" s="99" t="s">
        <v>374</v>
      </c>
      <c r="AA3" s="99"/>
      <c r="AB3" s="99" t="s">
        <v>360</v>
      </c>
    </row>
    <row r="4" spans="1:28" ht="11.25" customHeight="1" x14ac:dyDescent="0.25">
      <c r="A4" s="98"/>
      <c r="B4" s="98"/>
      <c r="C4" s="98"/>
      <c r="D4" s="98"/>
      <c r="E4" s="98"/>
      <c r="F4" s="98"/>
      <c r="G4" s="98"/>
      <c r="H4" s="98"/>
      <c r="I4" s="98"/>
      <c r="J4" s="82"/>
      <c r="L4" s="24" t="s">
        <v>354</v>
      </c>
      <c r="M4" s="24" t="s">
        <v>380</v>
      </c>
      <c r="N4" s="24" t="s">
        <v>381</v>
      </c>
      <c r="O4" s="24" t="s">
        <v>440</v>
      </c>
      <c r="P4" s="24" t="s">
        <v>382</v>
      </c>
      <c r="Q4" s="24" t="s">
        <v>360</v>
      </c>
      <c r="R4" s="24" t="s">
        <v>384</v>
      </c>
      <c r="S4" s="24" t="s">
        <v>360</v>
      </c>
      <c r="T4" s="24" t="s">
        <v>385</v>
      </c>
      <c r="U4" s="24" t="s">
        <v>386</v>
      </c>
      <c r="V4" s="24" t="s">
        <v>387</v>
      </c>
      <c r="W4" s="24" t="s">
        <v>360</v>
      </c>
      <c r="X4" s="24" t="s">
        <v>372</v>
      </c>
      <c r="Y4" s="24" t="s">
        <v>360</v>
      </c>
      <c r="Z4" s="24" t="s">
        <v>388</v>
      </c>
      <c r="AA4" s="24" t="s">
        <v>360</v>
      </c>
      <c r="AB4" s="100"/>
    </row>
    <row r="5" spans="1:28" ht="11.25" customHeight="1" x14ac:dyDescent="0.25">
      <c r="A5" s="97" t="s">
        <v>35</v>
      </c>
      <c r="B5" s="97" t="s">
        <v>69</v>
      </c>
      <c r="C5" s="97" t="s">
        <v>25</v>
      </c>
      <c r="D5" s="97" t="s">
        <v>25</v>
      </c>
      <c r="E5" s="97" t="s">
        <v>25</v>
      </c>
      <c r="F5" s="97" t="s">
        <v>25</v>
      </c>
      <c r="G5" s="23" t="s">
        <v>71</v>
      </c>
      <c r="H5" s="23" t="s">
        <v>70</v>
      </c>
      <c r="I5" s="23">
        <f>'MERCADO TE'!$U$2</f>
        <v>232.29900000000001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25">
      <c r="A6" s="97"/>
      <c r="B6" s="97"/>
      <c r="C6" s="97"/>
      <c r="D6" s="97"/>
      <c r="E6" s="97"/>
      <c r="F6" s="97"/>
      <c r="G6" s="23" t="s">
        <v>72</v>
      </c>
      <c r="H6" s="23" t="s">
        <v>70</v>
      </c>
      <c r="I6" s="23">
        <f>'MERCADO TE'!$U$3</f>
        <v>7582.5569999999989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25">
      <c r="A7" s="97" t="s">
        <v>22</v>
      </c>
      <c r="B7" s="97" t="s">
        <v>69</v>
      </c>
      <c r="C7" s="97" t="s">
        <v>24</v>
      </c>
      <c r="D7" s="97" t="s">
        <v>24</v>
      </c>
      <c r="E7" s="97" t="s">
        <v>25</v>
      </c>
      <c r="F7" s="97" t="s">
        <v>25</v>
      </c>
      <c r="G7" s="23" t="s">
        <v>71</v>
      </c>
      <c r="H7" s="23" t="s">
        <v>70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25">
      <c r="A8" s="97"/>
      <c r="B8" s="97"/>
      <c r="C8" s="97"/>
      <c r="D8" s="97"/>
      <c r="E8" s="97"/>
      <c r="F8" s="97"/>
      <c r="G8" s="23" t="s">
        <v>83</v>
      </c>
      <c r="H8" s="23" t="s">
        <v>70</v>
      </c>
      <c r="I8" s="23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25">
      <c r="A9" s="97"/>
      <c r="B9" s="97"/>
      <c r="C9" s="97"/>
      <c r="D9" s="97"/>
      <c r="E9" s="97"/>
      <c r="F9" s="97"/>
      <c r="G9" s="23" t="s">
        <v>72</v>
      </c>
      <c r="H9" s="23" t="s">
        <v>70</v>
      </c>
      <c r="I9" s="23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25">
      <c r="A10" s="97"/>
      <c r="B10" s="97" t="s">
        <v>84</v>
      </c>
      <c r="C10" s="97" t="s">
        <v>24</v>
      </c>
      <c r="D10" s="22" t="s">
        <v>24</v>
      </c>
      <c r="E10" s="22" t="s">
        <v>25</v>
      </c>
      <c r="F10" s="22" t="s">
        <v>25</v>
      </c>
      <c r="G10" s="23" t="s">
        <v>77</v>
      </c>
      <c r="H10" s="23" t="s">
        <v>70</v>
      </c>
      <c r="I10" s="23">
        <f>'MERCADO TE'!$U$7</f>
        <v>10122.061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25">
      <c r="A11" s="97"/>
      <c r="B11" s="97"/>
      <c r="C11" s="97"/>
      <c r="D11" s="22" t="s">
        <v>29</v>
      </c>
      <c r="E11" s="22" t="s">
        <v>25</v>
      </c>
      <c r="F11" s="22" t="s">
        <v>25</v>
      </c>
      <c r="G11" s="23" t="s">
        <v>77</v>
      </c>
      <c r="H11" s="23" t="s">
        <v>70</v>
      </c>
      <c r="I11" s="23">
        <f>'MERCADO TE'!$U$8</f>
        <v>111.12200000000001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25">
      <c r="A12" s="97"/>
      <c r="B12" s="97"/>
      <c r="C12" s="97"/>
      <c r="D12" s="22" t="s">
        <v>30</v>
      </c>
      <c r="E12" s="22" t="s">
        <v>25</v>
      </c>
      <c r="F12" s="22" t="s">
        <v>25</v>
      </c>
      <c r="G12" s="23" t="s">
        <v>77</v>
      </c>
      <c r="H12" s="23" t="s">
        <v>70</v>
      </c>
      <c r="I12" s="23">
        <f>'MERCADO TE'!$U$9</f>
        <v>223.66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25">
      <c r="A13" s="97"/>
      <c r="B13" s="97"/>
      <c r="C13" s="97"/>
      <c r="D13" s="22" t="s">
        <v>31</v>
      </c>
      <c r="E13" s="22" t="s">
        <v>25</v>
      </c>
      <c r="F13" s="22" t="s">
        <v>25</v>
      </c>
      <c r="G13" s="23" t="s">
        <v>77</v>
      </c>
      <c r="H13" s="23" t="s">
        <v>70</v>
      </c>
      <c r="I13" s="23">
        <f>'MERCADO TE'!$U$10</f>
        <v>229.345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25">
      <c r="A14" s="97"/>
      <c r="B14" s="97"/>
      <c r="C14" s="97"/>
      <c r="D14" s="22" t="s">
        <v>32</v>
      </c>
      <c r="E14" s="22" t="s">
        <v>25</v>
      </c>
      <c r="F14" s="22" t="s">
        <v>25</v>
      </c>
      <c r="G14" s="23" t="s">
        <v>77</v>
      </c>
      <c r="H14" s="23" t="s">
        <v>70</v>
      </c>
      <c r="I14" s="23">
        <f>'MERCADO TE'!$U$11</f>
        <v>103.19500000000001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25">
      <c r="A15" s="97"/>
      <c r="B15" s="97" t="s">
        <v>86</v>
      </c>
      <c r="C15" s="97" t="s">
        <v>24</v>
      </c>
      <c r="D15" s="22" t="s">
        <v>24</v>
      </c>
      <c r="E15" s="22" t="s">
        <v>25</v>
      </c>
      <c r="F15" s="22" t="s">
        <v>25</v>
      </c>
      <c r="G15" s="23" t="s">
        <v>77</v>
      </c>
      <c r="H15" s="23" t="s">
        <v>70</v>
      </c>
      <c r="I15" s="23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25">
      <c r="A16" s="97"/>
      <c r="B16" s="97"/>
      <c r="C16" s="97"/>
      <c r="D16" s="22" t="s">
        <v>29</v>
      </c>
      <c r="E16" s="22" t="s">
        <v>25</v>
      </c>
      <c r="F16" s="22" t="s">
        <v>25</v>
      </c>
      <c r="G16" s="23" t="s">
        <v>77</v>
      </c>
      <c r="H16" s="23" t="s">
        <v>70</v>
      </c>
      <c r="I16" s="23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25">
      <c r="A17" s="97"/>
      <c r="B17" s="97"/>
      <c r="C17" s="97"/>
      <c r="D17" s="22" t="s">
        <v>30</v>
      </c>
      <c r="E17" s="22" t="s">
        <v>25</v>
      </c>
      <c r="F17" s="22" t="s">
        <v>25</v>
      </c>
      <c r="G17" s="23" t="s">
        <v>77</v>
      </c>
      <c r="H17" s="23" t="s">
        <v>70</v>
      </c>
      <c r="I17" s="23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25">
      <c r="A18" s="97"/>
      <c r="B18" s="97"/>
      <c r="C18" s="97"/>
      <c r="D18" s="22" t="s">
        <v>31</v>
      </c>
      <c r="E18" s="22" t="s">
        <v>25</v>
      </c>
      <c r="F18" s="22" t="s">
        <v>25</v>
      </c>
      <c r="G18" s="23" t="s">
        <v>77</v>
      </c>
      <c r="H18" s="23" t="s">
        <v>70</v>
      </c>
      <c r="I18" s="23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25">
      <c r="A19" s="97"/>
      <c r="B19" s="97"/>
      <c r="C19" s="97"/>
      <c r="D19" s="22" t="s">
        <v>32</v>
      </c>
      <c r="E19" s="22" t="s">
        <v>25</v>
      </c>
      <c r="F19" s="22" t="s">
        <v>25</v>
      </c>
      <c r="G19" s="23" t="s">
        <v>77</v>
      </c>
      <c r="H19" s="23" t="s">
        <v>70</v>
      </c>
      <c r="I19" s="23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25">
      <c r="A20" s="97" t="s">
        <v>40</v>
      </c>
      <c r="B20" s="97" t="s">
        <v>69</v>
      </c>
      <c r="C20" s="97" t="s">
        <v>41</v>
      </c>
      <c r="D20" s="97" t="s">
        <v>25</v>
      </c>
      <c r="E20" s="97" t="s">
        <v>25</v>
      </c>
      <c r="F20" s="97" t="s">
        <v>25</v>
      </c>
      <c r="G20" s="23" t="s">
        <v>71</v>
      </c>
      <c r="H20" s="23" t="s">
        <v>70</v>
      </c>
      <c r="I20" s="23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25">
      <c r="A21" s="97"/>
      <c r="B21" s="97"/>
      <c r="C21" s="97"/>
      <c r="D21" s="97"/>
      <c r="E21" s="97"/>
      <c r="F21" s="97"/>
      <c r="G21" s="23" t="s">
        <v>83</v>
      </c>
      <c r="H21" s="23" t="s">
        <v>70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25">
      <c r="A22" s="97"/>
      <c r="B22" s="97"/>
      <c r="C22" s="97"/>
      <c r="D22" s="97"/>
      <c r="E22" s="97"/>
      <c r="F22" s="97"/>
      <c r="G22" s="23" t="s">
        <v>72</v>
      </c>
      <c r="H22" s="23" t="s">
        <v>70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25">
      <c r="A23" s="97"/>
      <c r="B23" s="22" t="s">
        <v>84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77</v>
      </c>
      <c r="H23" s="23" t="s">
        <v>70</v>
      </c>
      <c r="I23" s="23">
        <f>'MERCADO TE'!$U$20</f>
        <v>3283.42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25">
      <c r="A24" s="97"/>
      <c r="B24" s="97" t="s">
        <v>69</v>
      </c>
      <c r="C24" s="97" t="s">
        <v>41</v>
      </c>
      <c r="D24" s="97" t="s">
        <v>88</v>
      </c>
      <c r="E24" s="97" t="s">
        <v>25</v>
      </c>
      <c r="F24" s="97" t="s">
        <v>25</v>
      </c>
      <c r="G24" s="23" t="s">
        <v>71</v>
      </c>
      <c r="H24" s="23" t="s">
        <v>70</v>
      </c>
      <c r="I24" s="23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25">
      <c r="A25" s="97"/>
      <c r="B25" s="97"/>
      <c r="C25" s="97"/>
      <c r="D25" s="97"/>
      <c r="E25" s="97"/>
      <c r="F25" s="97"/>
      <c r="G25" s="23" t="s">
        <v>83</v>
      </c>
      <c r="H25" s="23" t="s">
        <v>70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25">
      <c r="A26" s="97"/>
      <c r="B26" s="97"/>
      <c r="C26" s="97"/>
      <c r="D26" s="97"/>
      <c r="E26" s="97"/>
      <c r="F26" s="97"/>
      <c r="G26" s="23" t="s">
        <v>72</v>
      </c>
      <c r="H26" s="23" t="s">
        <v>70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25">
      <c r="A27" s="97"/>
      <c r="B27" s="22" t="s">
        <v>84</v>
      </c>
      <c r="C27" s="22" t="s">
        <v>41</v>
      </c>
      <c r="D27" s="22" t="s">
        <v>88</v>
      </c>
      <c r="E27" s="22" t="s">
        <v>25</v>
      </c>
      <c r="F27" s="22" t="s">
        <v>25</v>
      </c>
      <c r="G27" s="23" t="s">
        <v>77</v>
      </c>
      <c r="H27" s="23" t="s">
        <v>70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25">
      <c r="A28" s="97"/>
      <c r="B28" s="97" t="s">
        <v>69</v>
      </c>
      <c r="C28" s="97" t="s">
        <v>41</v>
      </c>
      <c r="D28" s="97" t="s">
        <v>89</v>
      </c>
      <c r="E28" s="97" t="s">
        <v>25</v>
      </c>
      <c r="F28" s="97" t="s">
        <v>25</v>
      </c>
      <c r="G28" s="23" t="s">
        <v>71</v>
      </c>
      <c r="H28" s="23" t="s">
        <v>70</v>
      </c>
      <c r="I28" s="23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25">
      <c r="A29" s="97"/>
      <c r="B29" s="97"/>
      <c r="C29" s="97"/>
      <c r="D29" s="97"/>
      <c r="E29" s="97"/>
      <c r="F29" s="97"/>
      <c r="G29" s="23" t="s">
        <v>83</v>
      </c>
      <c r="H29" s="23" t="s">
        <v>70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25">
      <c r="A30" s="97"/>
      <c r="B30" s="97"/>
      <c r="C30" s="97"/>
      <c r="D30" s="97"/>
      <c r="E30" s="97"/>
      <c r="F30" s="97"/>
      <c r="G30" s="23" t="s">
        <v>72</v>
      </c>
      <c r="H30" s="23" t="s">
        <v>70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25">
      <c r="A31" s="97"/>
      <c r="B31" s="22" t="s">
        <v>84</v>
      </c>
      <c r="C31" s="22" t="s">
        <v>41</v>
      </c>
      <c r="D31" s="22" t="s">
        <v>89</v>
      </c>
      <c r="E31" s="22" t="s">
        <v>25</v>
      </c>
      <c r="F31" s="22" t="s">
        <v>25</v>
      </c>
      <c r="G31" s="23" t="s">
        <v>77</v>
      </c>
      <c r="H31" s="23" t="s">
        <v>70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25">
      <c r="A32" s="97"/>
      <c r="B32" s="97" t="s">
        <v>86</v>
      </c>
      <c r="C32" s="97" t="s">
        <v>41</v>
      </c>
      <c r="D32" s="22" t="s">
        <v>25</v>
      </c>
      <c r="E32" s="22" t="s">
        <v>25</v>
      </c>
      <c r="F32" s="22" t="s">
        <v>25</v>
      </c>
      <c r="G32" s="23" t="s">
        <v>77</v>
      </c>
      <c r="H32" s="23" t="s">
        <v>70</v>
      </c>
      <c r="I32" s="23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25">
      <c r="A33" s="97"/>
      <c r="B33" s="97"/>
      <c r="C33" s="97"/>
      <c r="D33" s="22" t="s">
        <v>88</v>
      </c>
      <c r="E33" s="22" t="s">
        <v>25</v>
      </c>
      <c r="F33" s="22" t="s">
        <v>25</v>
      </c>
      <c r="G33" s="23" t="s">
        <v>77</v>
      </c>
      <c r="H33" s="23" t="s">
        <v>70</v>
      </c>
      <c r="I33" s="23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25">
      <c r="A34" s="97"/>
      <c r="B34" s="97"/>
      <c r="C34" s="97"/>
      <c r="D34" s="22" t="s">
        <v>89</v>
      </c>
      <c r="E34" s="22" t="s">
        <v>25</v>
      </c>
      <c r="F34" s="22" t="s">
        <v>25</v>
      </c>
      <c r="G34" s="23" t="s">
        <v>77</v>
      </c>
      <c r="H34" s="23" t="s">
        <v>70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25">
      <c r="A35" s="97" t="s">
        <v>33</v>
      </c>
      <c r="B35" s="97" t="s">
        <v>69</v>
      </c>
      <c r="C35" s="97" t="s">
        <v>25</v>
      </c>
      <c r="D35" s="97" t="s">
        <v>25</v>
      </c>
      <c r="E35" s="97" t="s">
        <v>25</v>
      </c>
      <c r="F35" s="97" t="s">
        <v>25</v>
      </c>
      <c r="G35" s="23" t="s">
        <v>71</v>
      </c>
      <c r="H35" s="23" t="s">
        <v>70</v>
      </c>
      <c r="I35" s="23">
        <f>'MERCADO TE'!$U$32</f>
        <v>0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25">
      <c r="A36" s="97"/>
      <c r="B36" s="97"/>
      <c r="C36" s="97"/>
      <c r="D36" s="97"/>
      <c r="E36" s="97"/>
      <c r="F36" s="97"/>
      <c r="G36" s="23" t="s">
        <v>83</v>
      </c>
      <c r="H36" s="23" t="s">
        <v>70</v>
      </c>
      <c r="I36" s="23">
        <f>'MERCADO TE'!$U$33</f>
        <v>0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25">
      <c r="A37" s="97"/>
      <c r="B37" s="97"/>
      <c r="C37" s="97"/>
      <c r="D37" s="97"/>
      <c r="E37" s="97"/>
      <c r="F37" s="97"/>
      <c r="G37" s="23" t="s">
        <v>72</v>
      </c>
      <c r="H37" s="23" t="s">
        <v>70</v>
      </c>
      <c r="I37" s="23">
        <f>'MERCADO TE'!$U$34</f>
        <v>0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25">
      <c r="A38" s="97"/>
      <c r="B38" s="22" t="s">
        <v>84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77</v>
      </c>
      <c r="H38" s="23" t="s">
        <v>70</v>
      </c>
      <c r="I38" s="23">
        <f>'MERCADO TE'!$U$35</f>
        <v>4711.0929999999998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25">
      <c r="A39" s="97"/>
      <c r="B39" s="22" t="s">
        <v>86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77</v>
      </c>
      <c r="H39" s="23" t="s">
        <v>70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25">
      <c r="A40" s="97" t="s">
        <v>43</v>
      </c>
      <c r="B40" s="97" t="s">
        <v>84</v>
      </c>
      <c r="C40" s="97" t="s">
        <v>44</v>
      </c>
      <c r="D40" s="22" t="s">
        <v>45</v>
      </c>
      <c r="E40" s="22" t="s">
        <v>25</v>
      </c>
      <c r="F40" s="22" t="s">
        <v>25</v>
      </c>
      <c r="G40" s="23" t="s">
        <v>77</v>
      </c>
      <c r="H40" s="23" t="s">
        <v>70</v>
      </c>
      <c r="I40" s="23">
        <f>'MERCADO TE'!$U$37</f>
        <v>1954.79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25">
      <c r="A41" s="97"/>
      <c r="B41" s="97"/>
      <c r="C41" s="97"/>
      <c r="D41" s="23" t="s">
        <v>46</v>
      </c>
      <c r="E41" s="23" t="s">
        <v>25</v>
      </c>
      <c r="F41" s="23" t="s">
        <v>25</v>
      </c>
      <c r="G41" s="23" t="s">
        <v>77</v>
      </c>
      <c r="H41" s="23" t="s">
        <v>70</v>
      </c>
      <c r="I41" s="23">
        <f>'MERCADO TE'!$U$38</f>
        <v>1.4530000000000001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25">
      <c r="K43" s="25" t="s">
        <v>474</v>
      </c>
      <c r="L43" s="20">
        <f t="shared" ref="L43:AB43" si="0">SUMPRODUCT($I$5:$I$41,L$5:L$41)</f>
        <v>27674.758300000001</v>
      </c>
      <c r="M43" s="20">
        <f t="shared" si="0"/>
        <v>27674.758300000001</v>
      </c>
      <c r="N43" s="20">
        <f t="shared" si="0"/>
        <v>27674.758300000001</v>
      </c>
      <c r="O43" s="20">
        <f t="shared" si="0"/>
        <v>27674.758300000001</v>
      </c>
      <c r="P43" s="20">
        <f t="shared" si="0"/>
        <v>27674.758300000001</v>
      </c>
      <c r="Q43" s="20">
        <f t="shared" si="0"/>
        <v>0</v>
      </c>
      <c r="R43" s="20">
        <f t="shared" si="0"/>
        <v>27674.758300000001</v>
      </c>
      <c r="S43" s="20">
        <f t="shared" si="0"/>
        <v>0</v>
      </c>
      <c r="T43" s="20">
        <f t="shared" si="0"/>
        <v>27674.758300000001</v>
      </c>
      <c r="U43" s="20">
        <f t="shared" si="0"/>
        <v>27674.758300000001</v>
      </c>
      <c r="V43" s="20">
        <f t="shared" si="0"/>
        <v>27674.758300000001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27674.758300000001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393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4566747.0555940801</v>
      </c>
      <c r="S44" s="20">
        <f>CUSTOS!$D$37</f>
        <v>4566747.0555940801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4566747.0555940801</v>
      </c>
    </row>
    <row r="45" spans="1:28" ht="11.25" customHeight="1" x14ac:dyDescent="0.25">
      <c r="K45" s="25" t="s">
        <v>394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-306012.83600077045</v>
      </c>
      <c r="S45" s="20">
        <f>CUSTOS!$E$37</f>
        <v>-306012.83600077045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-306012.83600077045</v>
      </c>
    </row>
    <row r="46" spans="1:28" ht="11.25" customHeight="1" x14ac:dyDescent="0.25">
      <c r="K46" s="25" t="s">
        <v>395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475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0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0</v>
      </c>
      <c r="Q47" s="20"/>
      <c r="R47" s="20">
        <f>IF((CUSTOS!$M$12-CUSTOS!$M$13)&lt;&gt;0,(CUSTOS!$M$12*CUSTOS!$M$14)/(CUSTOS!$M$12-CUSTOS!$M$13),0)</f>
        <v>162.47279900000001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0</v>
      </c>
      <c r="AA47" s="20"/>
      <c r="AB47" s="20"/>
    </row>
    <row r="48" spans="1:28" ht="11.25" customHeight="1" x14ac:dyDescent="0.25">
      <c r="K48" s="25" t="s">
        <v>476</v>
      </c>
      <c r="L48" s="20">
        <f>IF(L43&lt;&gt;0,(L44-L47*0)/(L43-0),0)</f>
        <v>0</v>
      </c>
      <c r="M48" s="20">
        <f>IF(M43&lt;&gt;0,(M44-M47*0)/(M43-0),0)</f>
        <v>0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0</v>
      </c>
      <c r="Q48" s="20"/>
      <c r="R48" s="20">
        <f>IF(R43&lt;&gt;0,(R44-R47*0)/(R43-0),0)</f>
        <v>165.01488490304467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0</v>
      </c>
      <c r="AA48" s="20"/>
      <c r="AB48" s="20"/>
    </row>
    <row r="49" spans="11:28" ht="11.25" customHeight="1" x14ac:dyDescent="0.25">
      <c r="K49" s="25" t="s">
        <v>477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AF45-EBCB-4995-B420-F043CBEE2A14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98" t="s">
        <v>60</v>
      </c>
      <c r="B1" s="98" t="s">
        <v>61</v>
      </c>
      <c r="C1" s="98" t="s">
        <v>62</v>
      </c>
      <c r="D1" s="98" t="s">
        <v>63</v>
      </c>
      <c r="E1" s="98" t="s">
        <v>64</v>
      </c>
      <c r="F1" s="98" t="s">
        <v>15</v>
      </c>
      <c r="G1" s="98" t="s">
        <v>66</v>
      </c>
      <c r="H1" s="98" t="s">
        <v>67</v>
      </c>
      <c r="I1" s="98" t="s">
        <v>452</v>
      </c>
      <c r="J1" s="82"/>
      <c r="L1" s="99" t="s">
        <v>478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</row>
    <row r="2" spans="1:28" ht="11.25" customHeight="1" x14ac:dyDescent="0.25">
      <c r="A2" s="98"/>
      <c r="B2" s="98"/>
      <c r="C2" s="98"/>
      <c r="D2" s="98"/>
      <c r="E2" s="98"/>
      <c r="F2" s="98"/>
      <c r="G2" s="98"/>
      <c r="H2" s="98"/>
      <c r="I2" s="98"/>
      <c r="J2" s="82"/>
      <c r="L2" s="99" t="s">
        <v>379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</row>
    <row r="3" spans="1:28" ht="11.25" customHeight="1" x14ac:dyDescent="0.25">
      <c r="A3" s="98"/>
      <c r="B3" s="98"/>
      <c r="C3" s="98"/>
      <c r="D3" s="98"/>
      <c r="E3" s="98"/>
      <c r="F3" s="98"/>
      <c r="G3" s="98"/>
      <c r="H3" s="98"/>
      <c r="I3" s="98"/>
      <c r="J3" s="82"/>
      <c r="L3" s="99" t="s">
        <v>352</v>
      </c>
      <c r="M3" s="99"/>
      <c r="N3" s="99"/>
      <c r="O3" s="99"/>
      <c r="P3" s="99"/>
      <c r="Q3" s="99"/>
      <c r="R3" s="99" t="s">
        <v>383</v>
      </c>
      <c r="S3" s="99"/>
      <c r="T3" s="99" t="s">
        <v>361</v>
      </c>
      <c r="U3" s="99"/>
      <c r="V3" s="99"/>
      <c r="W3" s="99"/>
      <c r="X3" s="99" t="s">
        <v>371</v>
      </c>
      <c r="Y3" s="99"/>
      <c r="Z3" s="99" t="s">
        <v>374</v>
      </c>
      <c r="AA3" s="99"/>
      <c r="AB3" s="99" t="s">
        <v>360</v>
      </c>
    </row>
    <row r="4" spans="1:28" ht="11.25" customHeight="1" x14ac:dyDescent="0.25">
      <c r="A4" s="98"/>
      <c r="B4" s="98"/>
      <c r="C4" s="98"/>
      <c r="D4" s="98"/>
      <c r="E4" s="98"/>
      <c r="F4" s="98"/>
      <c r="G4" s="98"/>
      <c r="H4" s="98"/>
      <c r="I4" s="98"/>
      <c r="J4" s="82"/>
      <c r="L4" s="24" t="s">
        <v>354</v>
      </c>
      <c r="M4" s="24" t="s">
        <v>380</v>
      </c>
      <c r="N4" s="24" t="s">
        <v>381</v>
      </c>
      <c r="O4" s="24" t="s">
        <v>440</v>
      </c>
      <c r="P4" s="24" t="s">
        <v>382</v>
      </c>
      <c r="Q4" s="24" t="s">
        <v>360</v>
      </c>
      <c r="R4" s="24" t="s">
        <v>384</v>
      </c>
      <c r="S4" s="24" t="s">
        <v>360</v>
      </c>
      <c r="T4" s="24" t="s">
        <v>385</v>
      </c>
      <c r="U4" s="24" t="s">
        <v>386</v>
      </c>
      <c r="V4" s="24" t="s">
        <v>387</v>
      </c>
      <c r="W4" s="24" t="s">
        <v>360</v>
      </c>
      <c r="X4" s="24" t="s">
        <v>372</v>
      </c>
      <c r="Y4" s="24" t="s">
        <v>360</v>
      </c>
      <c r="Z4" s="24" t="s">
        <v>388</v>
      </c>
      <c r="AA4" s="24" t="s">
        <v>360</v>
      </c>
      <c r="AB4" s="100"/>
    </row>
    <row r="5" spans="1:28" ht="11.25" customHeight="1" x14ac:dyDescent="0.25">
      <c r="A5" s="97" t="s">
        <v>35</v>
      </c>
      <c r="B5" s="97" t="s">
        <v>69</v>
      </c>
      <c r="C5" s="97" t="s">
        <v>25</v>
      </c>
      <c r="D5" s="97" t="s">
        <v>25</v>
      </c>
      <c r="E5" s="97" t="s">
        <v>25</v>
      </c>
      <c r="F5" s="97" t="s">
        <v>25</v>
      </c>
      <c r="G5" s="23" t="s">
        <v>71</v>
      </c>
      <c r="H5" s="23" t="s">
        <v>70</v>
      </c>
      <c r="I5" s="23">
        <f>'MERCADO TE'!$U$2</f>
        <v>232.29900000000001</v>
      </c>
      <c r="J5" s="15"/>
      <c r="L5" s="20">
        <f>'TR TE'!$L$5*'TR TE'!$L$48</f>
        <v>0</v>
      </c>
      <c r="M5" s="20">
        <f>'TR TE'!$M$5*'TR TE'!$M$48</f>
        <v>0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0</v>
      </c>
      <c r="Q5" s="20">
        <f>SUM($L$5:$P$5)</f>
        <v>0</v>
      </c>
      <c r="R5" s="20">
        <f>'TR TE'!$R$5*'TR TE'!$R$48</f>
        <v>165.01488490304467</v>
      </c>
      <c r="S5" s="20">
        <f>SUM($R$5:$R$5)</f>
        <v>165.01488490304467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0</v>
      </c>
      <c r="AA5" s="20">
        <f>SUM($Z$5:$Z$5)</f>
        <v>0</v>
      </c>
      <c r="AB5" s="20">
        <f>SUMIF($L$4:$AA$4,"SUBTOTAL",$L$5:$AA$5)</f>
        <v>165.01488490304467</v>
      </c>
    </row>
    <row r="6" spans="1:28" ht="11.25" customHeight="1" x14ac:dyDescent="0.25">
      <c r="A6" s="97"/>
      <c r="B6" s="97"/>
      <c r="C6" s="97"/>
      <c r="D6" s="97"/>
      <c r="E6" s="97"/>
      <c r="F6" s="97"/>
      <c r="G6" s="23" t="s">
        <v>72</v>
      </c>
      <c r="H6" s="23" t="s">
        <v>70</v>
      </c>
      <c r="I6" s="23">
        <f>'MERCADO TE'!$U$3</f>
        <v>7582.5569999999989</v>
      </c>
      <c r="J6" s="15"/>
      <c r="L6" s="20">
        <f>'TR TE'!$L$6*'TR TE'!$L$48</f>
        <v>0</v>
      </c>
      <c r="M6" s="20">
        <f>'TR TE'!$M$6*'TR TE'!$M$48</f>
        <v>0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0</v>
      </c>
      <c r="Q6" s="20">
        <f>SUM($L$6:$P$6)</f>
        <v>0</v>
      </c>
      <c r="R6" s="20">
        <f>'TR TE'!$R$6*'TR TE'!$R$48</f>
        <v>165.01488490304467</v>
      </c>
      <c r="S6" s="20">
        <f>SUM($R$6:$R$6)</f>
        <v>165.01488490304467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0</v>
      </c>
      <c r="AA6" s="20">
        <f>SUM($Z$6:$Z$6)</f>
        <v>0</v>
      </c>
      <c r="AB6" s="20">
        <f>SUMIF($L$4:$AA$4,"SUBTOTAL",$L$6:$AA$6)</f>
        <v>165.01488490304467</v>
      </c>
    </row>
    <row r="7" spans="1:28" ht="11.25" customHeight="1" x14ac:dyDescent="0.25">
      <c r="A7" s="97" t="s">
        <v>22</v>
      </c>
      <c r="B7" s="97" t="s">
        <v>69</v>
      </c>
      <c r="C7" s="97" t="s">
        <v>24</v>
      </c>
      <c r="D7" s="97" t="s">
        <v>24</v>
      </c>
      <c r="E7" s="97" t="s">
        <v>25</v>
      </c>
      <c r="F7" s="97" t="s">
        <v>25</v>
      </c>
      <c r="G7" s="23" t="s">
        <v>71</v>
      </c>
      <c r="H7" s="23" t="s">
        <v>70</v>
      </c>
      <c r="I7" s="23">
        <f>'MERCADO TE'!$U$4</f>
        <v>0</v>
      </c>
      <c r="J7" s="15"/>
      <c r="L7" s="20">
        <f>'TR TE'!$L$7*'TR TE'!$L$48</f>
        <v>0</v>
      </c>
      <c r="M7" s="20">
        <f>'TR TE'!$M$7*'TR TE'!$M$48</f>
        <v>0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0</v>
      </c>
      <c r="Q7" s="20">
        <f>SUM($L$7:$P$7)</f>
        <v>0</v>
      </c>
      <c r="R7" s="20">
        <f>'TR TE'!$R$7*'TR TE'!$R$48</f>
        <v>165.01488490304467</v>
      </c>
      <c r="S7" s="20">
        <f>SUM($R$7:$R$7)</f>
        <v>165.01488490304467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0</v>
      </c>
      <c r="AA7" s="20">
        <f>SUM($Z$7:$Z$7)</f>
        <v>0</v>
      </c>
      <c r="AB7" s="20">
        <f>SUMIF($L$4:$AA$4,"SUBTOTAL",$L$7:$AA$7)</f>
        <v>165.01488490304467</v>
      </c>
    </row>
    <row r="8" spans="1:28" ht="11.25" customHeight="1" x14ac:dyDescent="0.25">
      <c r="A8" s="97"/>
      <c r="B8" s="97"/>
      <c r="C8" s="97"/>
      <c r="D8" s="97"/>
      <c r="E8" s="97"/>
      <c r="F8" s="97"/>
      <c r="G8" s="23" t="s">
        <v>83</v>
      </c>
      <c r="H8" s="23" t="s">
        <v>70</v>
      </c>
      <c r="I8" s="23">
        <f>'MERCADO TE'!$U$5</f>
        <v>0</v>
      </c>
      <c r="J8" s="15"/>
      <c r="L8" s="20">
        <f>'TR TE'!$L$8*'TR TE'!$L$48</f>
        <v>0</v>
      </c>
      <c r="M8" s="20">
        <f>'TR TE'!$M$8*'TR TE'!$M$48</f>
        <v>0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0</v>
      </c>
      <c r="Q8" s="20">
        <f>SUM($L$8:$P$8)</f>
        <v>0</v>
      </c>
      <c r="R8" s="20">
        <f>'TR TE'!$R$8*'TR TE'!$R$48</f>
        <v>165.01488490304467</v>
      </c>
      <c r="S8" s="20">
        <f>SUM($R$8:$R$8)</f>
        <v>165.01488490304467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0</v>
      </c>
      <c r="AA8" s="20">
        <f>SUM($Z$8:$Z$8)</f>
        <v>0</v>
      </c>
      <c r="AB8" s="20">
        <f>SUMIF($L$4:$AA$4,"SUBTOTAL",$L$8:$AA$8)</f>
        <v>165.01488490304467</v>
      </c>
    </row>
    <row r="9" spans="1:28" ht="11.25" customHeight="1" x14ac:dyDescent="0.25">
      <c r="A9" s="97"/>
      <c r="B9" s="97"/>
      <c r="C9" s="97"/>
      <c r="D9" s="97"/>
      <c r="E9" s="97"/>
      <c r="F9" s="97"/>
      <c r="G9" s="23" t="s">
        <v>72</v>
      </c>
      <c r="H9" s="23" t="s">
        <v>70</v>
      </c>
      <c r="I9" s="23">
        <f>'MERCADO TE'!$U$6</f>
        <v>0</v>
      </c>
      <c r="J9" s="15"/>
      <c r="L9" s="20">
        <f>'TR TE'!$L$9*'TR TE'!$L$48</f>
        <v>0</v>
      </c>
      <c r="M9" s="20">
        <f>'TR TE'!$M$9*'TR TE'!$M$48</f>
        <v>0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0</v>
      </c>
      <c r="Q9" s="20">
        <f>SUM($L$9:$P$9)</f>
        <v>0</v>
      </c>
      <c r="R9" s="20">
        <f>'TR TE'!$R$9*'TR TE'!$R$48</f>
        <v>165.01488490304467</v>
      </c>
      <c r="S9" s="20">
        <f>SUM($R$9:$R$9)</f>
        <v>165.01488490304467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0</v>
      </c>
      <c r="AA9" s="20">
        <f>SUM($Z$9:$Z$9)</f>
        <v>0</v>
      </c>
      <c r="AB9" s="20">
        <f>SUMIF($L$4:$AA$4,"SUBTOTAL",$L$9:$AA$9)</f>
        <v>165.01488490304467</v>
      </c>
    </row>
    <row r="10" spans="1:28" ht="11.25" customHeight="1" x14ac:dyDescent="0.25">
      <c r="A10" s="97"/>
      <c r="B10" s="97" t="s">
        <v>84</v>
      </c>
      <c r="C10" s="97" t="s">
        <v>24</v>
      </c>
      <c r="D10" s="22" t="s">
        <v>24</v>
      </c>
      <c r="E10" s="22" t="s">
        <v>25</v>
      </c>
      <c r="F10" s="22" t="s">
        <v>25</v>
      </c>
      <c r="G10" s="23" t="s">
        <v>77</v>
      </c>
      <c r="H10" s="23" t="s">
        <v>70</v>
      </c>
      <c r="I10" s="23">
        <f>'MERCADO TE'!$U$7</f>
        <v>10122.061</v>
      </c>
      <c r="J10" s="15"/>
      <c r="L10" s="20">
        <f>'TR TE'!$L$10*'TR TE'!$L$48</f>
        <v>0</v>
      </c>
      <c r="M10" s="20">
        <f>'TR TE'!$M$10*'TR TE'!$M$48</f>
        <v>0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0</v>
      </c>
      <c r="Q10" s="20">
        <f>SUM($L$10:$P$10)</f>
        <v>0</v>
      </c>
      <c r="R10" s="20">
        <f>'TR TE'!$R$10*'TR TE'!$R$48</f>
        <v>165.01488490304467</v>
      </c>
      <c r="S10" s="20">
        <f>SUM($R$10:$R$10)</f>
        <v>165.01488490304467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0</v>
      </c>
      <c r="AA10" s="20">
        <f>SUM($Z$10:$Z$10)</f>
        <v>0</v>
      </c>
      <c r="AB10" s="20">
        <f>SUMIF($L$4:$AA$4,"SUBTOTAL",$L$10:$AA$10)</f>
        <v>165.01488490304467</v>
      </c>
    </row>
    <row r="11" spans="1:28" ht="11.25" customHeight="1" x14ac:dyDescent="0.25">
      <c r="A11" s="97"/>
      <c r="B11" s="97"/>
      <c r="C11" s="97"/>
      <c r="D11" s="22" t="s">
        <v>29</v>
      </c>
      <c r="E11" s="22" t="s">
        <v>25</v>
      </c>
      <c r="F11" s="22" t="s">
        <v>25</v>
      </c>
      <c r="G11" s="23" t="s">
        <v>77</v>
      </c>
      <c r="H11" s="23" t="s">
        <v>70</v>
      </c>
      <c r="I11" s="23">
        <f>'MERCADO TE'!$U$8</f>
        <v>111.12200000000001</v>
      </c>
      <c r="J11" s="15"/>
      <c r="L11" s="20">
        <f>'TR TE'!$L$11*'TR TE'!$L$48</f>
        <v>0</v>
      </c>
      <c r="M11" s="20">
        <f>'TR TE'!$M$11*'TR TE'!$M$48</f>
        <v>0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0</v>
      </c>
      <c r="Q11" s="20">
        <f>SUM($L$11:$P$11)</f>
        <v>0</v>
      </c>
      <c r="R11" s="20">
        <f>'TR TE'!$R$11*'TR TE'!$R$48</f>
        <v>165.01488490304467</v>
      </c>
      <c r="S11" s="20">
        <f>SUM($R$11:$R$11)</f>
        <v>165.01488490304467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0</v>
      </c>
      <c r="AA11" s="20">
        <f>SUM($Z$11:$Z$11)</f>
        <v>0</v>
      </c>
      <c r="AB11" s="20">
        <f>SUMIF($L$4:$AA$4,"SUBTOTAL",$L$11:$AA$11)</f>
        <v>165.01488490304467</v>
      </c>
    </row>
    <row r="12" spans="1:28" ht="11.25" customHeight="1" x14ac:dyDescent="0.25">
      <c r="A12" s="97"/>
      <c r="B12" s="97"/>
      <c r="C12" s="97"/>
      <c r="D12" s="22" t="s">
        <v>30</v>
      </c>
      <c r="E12" s="22" t="s">
        <v>25</v>
      </c>
      <c r="F12" s="22" t="s">
        <v>25</v>
      </c>
      <c r="G12" s="23" t="s">
        <v>77</v>
      </c>
      <c r="H12" s="23" t="s">
        <v>70</v>
      </c>
      <c r="I12" s="23">
        <f>'MERCADO TE'!$U$9</f>
        <v>223.66</v>
      </c>
      <c r="J12" s="15"/>
      <c r="L12" s="20">
        <f>'TR TE'!$L$12*'TR TE'!$L$48</f>
        <v>0</v>
      </c>
      <c r="M12" s="20">
        <f>'TR TE'!$M$12*'TR TE'!$M$48</f>
        <v>0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0</v>
      </c>
      <c r="Q12" s="20">
        <f>SUM($L$12:$P$12)</f>
        <v>0</v>
      </c>
      <c r="R12" s="20">
        <f>'TR TE'!$R$12*'TR TE'!$R$48</f>
        <v>165.01488490304467</v>
      </c>
      <c r="S12" s="20">
        <f>SUM($R$12:$R$12)</f>
        <v>165.01488490304467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0</v>
      </c>
      <c r="AA12" s="20">
        <f>SUM($Z$12:$Z$12)</f>
        <v>0</v>
      </c>
      <c r="AB12" s="20">
        <f>SUMIF($L$4:$AA$4,"SUBTOTAL",$L$12:$AA$12)</f>
        <v>165.01488490304467</v>
      </c>
    </row>
    <row r="13" spans="1:28" ht="11.25" customHeight="1" x14ac:dyDescent="0.25">
      <c r="A13" s="97"/>
      <c r="B13" s="97"/>
      <c r="C13" s="97"/>
      <c r="D13" s="22" t="s">
        <v>31</v>
      </c>
      <c r="E13" s="22" t="s">
        <v>25</v>
      </c>
      <c r="F13" s="22" t="s">
        <v>25</v>
      </c>
      <c r="G13" s="23" t="s">
        <v>77</v>
      </c>
      <c r="H13" s="23" t="s">
        <v>70</v>
      </c>
      <c r="I13" s="23">
        <f>'MERCADO TE'!$U$10</f>
        <v>229.345</v>
      </c>
      <c r="J13" s="15"/>
      <c r="L13" s="20">
        <f>'TR TE'!$L$13*'TR TE'!$L$48</f>
        <v>0</v>
      </c>
      <c r="M13" s="20">
        <f>'TR TE'!$M$13*'TR TE'!$M$48</f>
        <v>0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0</v>
      </c>
      <c r="Q13" s="20">
        <f>SUM($L$13:$P$13)</f>
        <v>0</v>
      </c>
      <c r="R13" s="20">
        <f>'TR TE'!$R$13*'TR TE'!$R$48</f>
        <v>165.01488490304467</v>
      </c>
      <c r="S13" s="20">
        <f>SUM($R$13:$R$13)</f>
        <v>165.01488490304467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0</v>
      </c>
      <c r="AA13" s="20">
        <f>SUM($Z$13:$Z$13)</f>
        <v>0</v>
      </c>
      <c r="AB13" s="20">
        <f>SUMIF($L$4:$AA$4,"SUBTOTAL",$L$13:$AA$13)</f>
        <v>165.01488490304467</v>
      </c>
    </row>
    <row r="14" spans="1:28" ht="11.25" customHeight="1" x14ac:dyDescent="0.25">
      <c r="A14" s="97"/>
      <c r="B14" s="97"/>
      <c r="C14" s="97"/>
      <c r="D14" s="22" t="s">
        <v>32</v>
      </c>
      <c r="E14" s="22" t="s">
        <v>25</v>
      </c>
      <c r="F14" s="22" t="s">
        <v>25</v>
      </c>
      <c r="G14" s="23" t="s">
        <v>77</v>
      </c>
      <c r="H14" s="23" t="s">
        <v>70</v>
      </c>
      <c r="I14" s="23">
        <f>'MERCADO TE'!$U$11</f>
        <v>103.19500000000001</v>
      </c>
      <c r="J14" s="15"/>
      <c r="L14" s="20">
        <f>'TR TE'!$L$14*'TR TE'!$L$48</f>
        <v>0</v>
      </c>
      <c r="M14" s="20">
        <f>'TR TE'!$M$14*'TR TE'!$M$48</f>
        <v>0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0</v>
      </c>
      <c r="Q14" s="20">
        <f>SUM($L$14:$P$14)</f>
        <v>0</v>
      </c>
      <c r="R14" s="20">
        <f>'TR TE'!$R$14*'TR TE'!$R$48</f>
        <v>165.01488490304467</v>
      </c>
      <c r="S14" s="20">
        <f>SUM($R$14:$R$14)</f>
        <v>165.01488490304467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0</v>
      </c>
      <c r="AA14" s="20">
        <f>SUM($Z$14:$Z$14)</f>
        <v>0</v>
      </c>
      <c r="AB14" s="20">
        <f>SUMIF($L$4:$AA$4,"SUBTOTAL",$L$14:$AA$14)</f>
        <v>165.01488490304467</v>
      </c>
    </row>
    <row r="15" spans="1:28" ht="11.25" customHeight="1" x14ac:dyDescent="0.25">
      <c r="A15" s="97"/>
      <c r="B15" s="97" t="s">
        <v>86</v>
      </c>
      <c r="C15" s="97" t="s">
        <v>24</v>
      </c>
      <c r="D15" s="22" t="s">
        <v>24</v>
      </c>
      <c r="E15" s="22" t="s">
        <v>25</v>
      </c>
      <c r="F15" s="22" t="s">
        <v>25</v>
      </c>
      <c r="G15" s="23" t="s">
        <v>77</v>
      </c>
      <c r="H15" s="23" t="s">
        <v>70</v>
      </c>
      <c r="I15" s="23">
        <f>'MERCADO TE'!$U$12</f>
        <v>0</v>
      </c>
      <c r="J15" s="15"/>
      <c r="L15" s="20">
        <f>'TR TE'!$L$15*'TR TE'!$L$48</f>
        <v>0</v>
      </c>
      <c r="M15" s="20">
        <f>'TR TE'!$M$15*'TR TE'!$M$48</f>
        <v>0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0</v>
      </c>
      <c r="Q15" s="20">
        <f>SUM($L$15:$P$15)</f>
        <v>0</v>
      </c>
      <c r="R15" s="20">
        <f>'TR TE'!$R$15*'TR TE'!$R$48</f>
        <v>165.01488490304467</v>
      </c>
      <c r="S15" s="20">
        <f>SUM($R$15:$R$15)</f>
        <v>165.01488490304467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0</v>
      </c>
      <c r="AA15" s="20">
        <f>SUM($Z$15:$Z$15)</f>
        <v>0</v>
      </c>
      <c r="AB15" s="20">
        <f>SUMIF($L$4:$AA$4,"SUBTOTAL",$L$15:$AA$15)</f>
        <v>165.01488490304467</v>
      </c>
    </row>
    <row r="16" spans="1:28" ht="11.25" customHeight="1" x14ac:dyDescent="0.25">
      <c r="A16" s="97"/>
      <c r="B16" s="97"/>
      <c r="C16" s="97"/>
      <c r="D16" s="22" t="s">
        <v>29</v>
      </c>
      <c r="E16" s="22" t="s">
        <v>25</v>
      </c>
      <c r="F16" s="22" t="s">
        <v>25</v>
      </c>
      <c r="G16" s="23" t="s">
        <v>77</v>
      </c>
      <c r="H16" s="23" t="s">
        <v>70</v>
      </c>
      <c r="I16" s="23">
        <f>'MERCADO TE'!$U$13</f>
        <v>0</v>
      </c>
      <c r="J16" s="15"/>
      <c r="L16" s="20">
        <f>'TR TE'!$L$16*'TR TE'!$L$48</f>
        <v>0</v>
      </c>
      <c r="M16" s="20">
        <f>'TR TE'!$M$16*'TR TE'!$M$48</f>
        <v>0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0</v>
      </c>
      <c r="Q16" s="20">
        <f>SUM($L$16:$P$16)</f>
        <v>0</v>
      </c>
      <c r="R16" s="20">
        <f>'TR TE'!$R$16*'TR TE'!$R$48</f>
        <v>165.01488490304467</v>
      </c>
      <c r="S16" s="20">
        <f>SUM($R$16:$R$16)</f>
        <v>165.01488490304467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0</v>
      </c>
      <c r="AA16" s="20">
        <f>SUM($Z$16:$Z$16)</f>
        <v>0</v>
      </c>
      <c r="AB16" s="20">
        <f>SUMIF($L$4:$AA$4,"SUBTOTAL",$L$16:$AA$16)</f>
        <v>165.01488490304467</v>
      </c>
    </row>
    <row r="17" spans="1:28" ht="11.25" customHeight="1" x14ac:dyDescent="0.25">
      <c r="A17" s="97"/>
      <c r="B17" s="97"/>
      <c r="C17" s="97"/>
      <c r="D17" s="22" t="s">
        <v>30</v>
      </c>
      <c r="E17" s="22" t="s">
        <v>25</v>
      </c>
      <c r="F17" s="22" t="s">
        <v>25</v>
      </c>
      <c r="G17" s="23" t="s">
        <v>77</v>
      </c>
      <c r="H17" s="23" t="s">
        <v>70</v>
      </c>
      <c r="I17" s="23">
        <f>'MERCADO TE'!$U$14</f>
        <v>0</v>
      </c>
      <c r="J17" s="15"/>
      <c r="L17" s="20">
        <f>'TR TE'!$L$17*'TR TE'!$L$48</f>
        <v>0</v>
      </c>
      <c r="M17" s="20">
        <f>'TR TE'!$M$17*'TR TE'!$M$48</f>
        <v>0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0</v>
      </c>
      <c r="Q17" s="20">
        <f>SUM($L$17:$P$17)</f>
        <v>0</v>
      </c>
      <c r="R17" s="20">
        <f>'TR TE'!$R$17*'TR TE'!$R$48</f>
        <v>165.01488490304467</v>
      </c>
      <c r="S17" s="20">
        <f>SUM($R$17:$R$17)</f>
        <v>165.01488490304467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0</v>
      </c>
      <c r="AA17" s="20">
        <f>SUM($Z$17:$Z$17)</f>
        <v>0</v>
      </c>
      <c r="AB17" s="20">
        <f>SUMIF($L$4:$AA$4,"SUBTOTAL",$L$17:$AA$17)</f>
        <v>165.01488490304467</v>
      </c>
    </row>
    <row r="18" spans="1:28" ht="11.25" customHeight="1" x14ac:dyDescent="0.25">
      <c r="A18" s="97"/>
      <c r="B18" s="97"/>
      <c r="C18" s="97"/>
      <c r="D18" s="22" t="s">
        <v>31</v>
      </c>
      <c r="E18" s="22" t="s">
        <v>25</v>
      </c>
      <c r="F18" s="22" t="s">
        <v>25</v>
      </c>
      <c r="G18" s="23" t="s">
        <v>77</v>
      </c>
      <c r="H18" s="23" t="s">
        <v>70</v>
      </c>
      <c r="I18" s="23">
        <f>'MERCADO TE'!$U$15</f>
        <v>0</v>
      </c>
      <c r="J18" s="15"/>
      <c r="L18" s="20">
        <f>'TR TE'!$L$18*'TR TE'!$L$48</f>
        <v>0</v>
      </c>
      <c r="M18" s="20">
        <f>'TR TE'!$M$18*'TR TE'!$M$48</f>
        <v>0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0</v>
      </c>
      <c r="Q18" s="20">
        <f>SUM($L$18:$P$18)</f>
        <v>0</v>
      </c>
      <c r="R18" s="20">
        <f>'TR TE'!$R$18*'TR TE'!$R$48</f>
        <v>165.01488490304467</v>
      </c>
      <c r="S18" s="20">
        <f>SUM($R$18:$R$18)</f>
        <v>165.01488490304467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0</v>
      </c>
      <c r="AA18" s="20">
        <f>SUM($Z$18:$Z$18)</f>
        <v>0</v>
      </c>
      <c r="AB18" s="20">
        <f>SUMIF($L$4:$AA$4,"SUBTOTAL",$L$18:$AA$18)</f>
        <v>165.01488490304467</v>
      </c>
    </row>
    <row r="19" spans="1:28" ht="11.25" customHeight="1" x14ac:dyDescent="0.25">
      <c r="A19" s="97"/>
      <c r="B19" s="97"/>
      <c r="C19" s="97"/>
      <c r="D19" s="22" t="s">
        <v>32</v>
      </c>
      <c r="E19" s="22" t="s">
        <v>25</v>
      </c>
      <c r="F19" s="22" t="s">
        <v>25</v>
      </c>
      <c r="G19" s="23" t="s">
        <v>77</v>
      </c>
      <c r="H19" s="23" t="s">
        <v>70</v>
      </c>
      <c r="I19" s="23">
        <f>'MERCADO TE'!$U$16</f>
        <v>0</v>
      </c>
      <c r="J19" s="15"/>
      <c r="L19" s="20">
        <f>'TR TE'!$L$19*'TR TE'!$L$48</f>
        <v>0</v>
      </c>
      <c r="M19" s="20">
        <f>'TR TE'!$M$19*'TR TE'!$M$48</f>
        <v>0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0</v>
      </c>
      <c r="Q19" s="20">
        <f>SUM($L$19:$P$19)</f>
        <v>0</v>
      </c>
      <c r="R19" s="20">
        <f>'TR TE'!$R$19*'TR TE'!$R$48</f>
        <v>165.01488490304467</v>
      </c>
      <c r="S19" s="20">
        <f>SUM($R$19:$R$19)</f>
        <v>165.01488490304467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0</v>
      </c>
      <c r="AA19" s="20">
        <f>SUM($Z$19:$Z$19)</f>
        <v>0</v>
      </c>
      <c r="AB19" s="20">
        <f>SUMIF($L$4:$AA$4,"SUBTOTAL",$L$19:$AA$19)</f>
        <v>165.01488490304467</v>
      </c>
    </row>
    <row r="20" spans="1:28" ht="11.25" customHeight="1" x14ac:dyDescent="0.25">
      <c r="A20" s="97" t="s">
        <v>40</v>
      </c>
      <c r="B20" s="97" t="s">
        <v>69</v>
      </c>
      <c r="C20" s="97" t="s">
        <v>41</v>
      </c>
      <c r="D20" s="97" t="s">
        <v>25</v>
      </c>
      <c r="E20" s="97" t="s">
        <v>25</v>
      </c>
      <c r="F20" s="97" t="s">
        <v>25</v>
      </c>
      <c r="G20" s="23" t="s">
        <v>71</v>
      </c>
      <c r="H20" s="23" t="s">
        <v>70</v>
      </c>
      <c r="I20" s="23">
        <f>'MERCADO TE'!$U$17</f>
        <v>0</v>
      </c>
      <c r="J20" s="15"/>
      <c r="L20" s="20">
        <f>'TR TE'!$L$20*'TR TE'!$L$48</f>
        <v>0</v>
      </c>
      <c r="M20" s="20">
        <f>'TR TE'!$M$20*'TR TE'!$M$48</f>
        <v>0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0</v>
      </c>
      <c r="Q20" s="20">
        <f>SUM($L$20:$P$20)</f>
        <v>0</v>
      </c>
      <c r="R20" s="20">
        <f>'TR TE'!$R$20*'TR TE'!$R$48</f>
        <v>165.01488490304467</v>
      </c>
      <c r="S20" s="20">
        <f>SUM($R$20:$R$20)</f>
        <v>165.01488490304467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0</v>
      </c>
      <c r="AA20" s="20">
        <f>SUM($Z$20:$Z$20)</f>
        <v>0</v>
      </c>
      <c r="AB20" s="20">
        <f>SUMIF($L$4:$AA$4,"SUBTOTAL",$L$20:$AA$20)</f>
        <v>165.01488490304467</v>
      </c>
    </row>
    <row r="21" spans="1:28" ht="11.25" customHeight="1" x14ac:dyDescent="0.25">
      <c r="A21" s="97"/>
      <c r="B21" s="97"/>
      <c r="C21" s="97"/>
      <c r="D21" s="97"/>
      <c r="E21" s="97"/>
      <c r="F21" s="97"/>
      <c r="G21" s="23" t="s">
        <v>83</v>
      </c>
      <c r="H21" s="23" t="s">
        <v>70</v>
      </c>
      <c r="I21" s="23">
        <f>'MERCADO TE'!$U$18</f>
        <v>0</v>
      </c>
      <c r="J21" s="15"/>
      <c r="L21" s="20">
        <f>'TR TE'!$L$21*'TR TE'!$L$48</f>
        <v>0</v>
      </c>
      <c r="M21" s="20">
        <f>'TR TE'!$M$21*'TR TE'!$M$48</f>
        <v>0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0</v>
      </c>
      <c r="Q21" s="20">
        <f>SUM($L$21:$P$21)</f>
        <v>0</v>
      </c>
      <c r="R21" s="20">
        <f>'TR TE'!$R$21*'TR TE'!$R$48</f>
        <v>165.01488490304467</v>
      </c>
      <c r="S21" s="20">
        <f>SUM($R$21:$R$21)</f>
        <v>165.01488490304467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0</v>
      </c>
      <c r="AA21" s="20">
        <f>SUM($Z$21:$Z$21)</f>
        <v>0</v>
      </c>
      <c r="AB21" s="20">
        <f>SUMIF($L$4:$AA$4,"SUBTOTAL",$L$21:$AA$21)</f>
        <v>165.01488490304467</v>
      </c>
    </row>
    <row r="22" spans="1:28" ht="11.25" customHeight="1" x14ac:dyDescent="0.25">
      <c r="A22" s="97"/>
      <c r="B22" s="97"/>
      <c r="C22" s="97"/>
      <c r="D22" s="97"/>
      <c r="E22" s="97"/>
      <c r="F22" s="97"/>
      <c r="G22" s="23" t="s">
        <v>72</v>
      </c>
      <c r="H22" s="23" t="s">
        <v>70</v>
      </c>
      <c r="I22" s="23">
        <f>'MERCADO TE'!$U$19</f>
        <v>0</v>
      </c>
      <c r="J22" s="15"/>
      <c r="L22" s="20">
        <f>'TR TE'!$L$22*'TR TE'!$L$48</f>
        <v>0</v>
      </c>
      <c r="M22" s="20">
        <f>'TR TE'!$M$22*'TR TE'!$M$48</f>
        <v>0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0</v>
      </c>
      <c r="Q22" s="20">
        <f>SUM($L$22:$P$22)</f>
        <v>0</v>
      </c>
      <c r="R22" s="20">
        <f>'TR TE'!$R$22*'TR TE'!$R$48</f>
        <v>165.01488490304467</v>
      </c>
      <c r="S22" s="20">
        <f>SUM($R$22:$R$22)</f>
        <v>165.01488490304467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0</v>
      </c>
      <c r="AA22" s="20">
        <f>SUM($Z$22:$Z$22)</f>
        <v>0</v>
      </c>
      <c r="AB22" s="20">
        <f>SUMIF($L$4:$AA$4,"SUBTOTAL",$L$22:$AA$22)</f>
        <v>165.01488490304467</v>
      </c>
    </row>
    <row r="23" spans="1:28" ht="11.25" customHeight="1" x14ac:dyDescent="0.25">
      <c r="A23" s="97"/>
      <c r="B23" s="22" t="s">
        <v>84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77</v>
      </c>
      <c r="H23" s="23" t="s">
        <v>70</v>
      </c>
      <c r="I23" s="23">
        <f>'MERCADO TE'!$U$20</f>
        <v>3283.42</v>
      </c>
      <c r="J23" s="15"/>
      <c r="L23" s="20">
        <f>'TR TE'!$L$23*'TR TE'!$L$48</f>
        <v>0</v>
      </c>
      <c r="M23" s="20">
        <f>'TR TE'!$M$23*'TR TE'!$M$48</f>
        <v>0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0</v>
      </c>
      <c r="Q23" s="20">
        <f>SUM($L$23:$P$23)</f>
        <v>0</v>
      </c>
      <c r="R23" s="20">
        <f>'TR TE'!$R$23*'TR TE'!$R$48</f>
        <v>165.01488490304467</v>
      </c>
      <c r="S23" s="20">
        <f>SUM($R$23:$R$23)</f>
        <v>165.01488490304467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0</v>
      </c>
      <c r="AA23" s="20">
        <f>SUM($Z$23:$Z$23)</f>
        <v>0</v>
      </c>
      <c r="AB23" s="20">
        <f>SUMIF($L$4:$AA$4,"SUBTOTAL",$L$23:$AA$23)</f>
        <v>165.01488490304467</v>
      </c>
    </row>
    <row r="24" spans="1:28" ht="11.25" customHeight="1" x14ac:dyDescent="0.25">
      <c r="A24" s="97"/>
      <c r="B24" s="97" t="s">
        <v>69</v>
      </c>
      <c r="C24" s="97" t="s">
        <v>41</v>
      </c>
      <c r="D24" s="97" t="s">
        <v>88</v>
      </c>
      <c r="E24" s="97" t="s">
        <v>25</v>
      </c>
      <c r="F24" s="97" t="s">
        <v>25</v>
      </c>
      <c r="G24" s="23" t="s">
        <v>71</v>
      </c>
      <c r="H24" s="23" t="s">
        <v>70</v>
      </c>
      <c r="I24" s="23">
        <f>'MERCADO TE'!$U$21</f>
        <v>0</v>
      </c>
      <c r="J24" s="15"/>
      <c r="L24" s="20">
        <f>'TR TE'!$L$24*'TR TE'!$L$48</f>
        <v>0</v>
      </c>
      <c r="M24" s="20">
        <f>'TR TE'!$M$24*'TR TE'!$M$48</f>
        <v>0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0</v>
      </c>
      <c r="Q24" s="20">
        <f>SUM($L$24:$P$24)</f>
        <v>0</v>
      </c>
      <c r="R24" s="20">
        <f>'TR TE'!$R$24*'TR TE'!$R$48</f>
        <v>165.01488490304467</v>
      </c>
      <c r="S24" s="20">
        <f>SUM($R$24:$R$24)</f>
        <v>165.01488490304467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0</v>
      </c>
      <c r="AA24" s="20">
        <f>SUM($Z$24:$Z$24)</f>
        <v>0</v>
      </c>
      <c r="AB24" s="20">
        <f>SUMIF($L$4:$AA$4,"SUBTOTAL",$L$24:$AA$24)</f>
        <v>165.01488490304467</v>
      </c>
    </row>
    <row r="25" spans="1:28" ht="11.25" customHeight="1" x14ac:dyDescent="0.25">
      <c r="A25" s="97"/>
      <c r="B25" s="97"/>
      <c r="C25" s="97"/>
      <c r="D25" s="97"/>
      <c r="E25" s="97"/>
      <c r="F25" s="97"/>
      <c r="G25" s="23" t="s">
        <v>83</v>
      </c>
      <c r="H25" s="23" t="s">
        <v>70</v>
      </c>
      <c r="I25" s="23">
        <f>'MERCADO TE'!$U$22</f>
        <v>0</v>
      </c>
      <c r="J25" s="15"/>
      <c r="L25" s="20">
        <f>'TR TE'!$L$25*'TR TE'!$L$48</f>
        <v>0</v>
      </c>
      <c r="M25" s="20">
        <f>'TR TE'!$M$25*'TR TE'!$M$48</f>
        <v>0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0</v>
      </c>
      <c r="Q25" s="20">
        <f>SUM($L$25:$P$25)</f>
        <v>0</v>
      </c>
      <c r="R25" s="20">
        <f>'TR TE'!$R$25*'TR TE'!$R$48</f>
        <v>165.01488490304467</v>
      </c>
      <c r="S25" s="20">
        <f>SUM($R$25:$R$25)</f>
        <v>165.01488490304467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0</v>
      </c>
      <c r="AA25" s="20">
        <f>SUM($Z$25:$Z$25)</f>
        <v>0</v>
      </c>
      <c r="AB25" s="20">
        <f>SUMIF($L$4:$AA$4,"SUBTOTAL",$L$25:$AA$25)</f>
        <v>165.01488490304467</v>
      </c>
    </row>
    <row r="26" spans="1:28" ht="11.25" customHeight="1" x14ac:dyDescent="0.25">
      <c r="A26" s="97"/>
      <c r="B26" s="97"/>
      <c r="C26" s="97"/>
      <c r="D26" s="97"/>
      <c r="E26" s="97"/>
      <c r="F26" s="97"/>
      <c r="G26" s="23" t="s">
        <v>72</v>
      </c>
      <c r="H26" s="23" t="s">
        <v>70</v>
      </c>
      <c r="I26" s="23">
        <f>'MERCADO TE'!$U$23</f>
        <v>0</v>
      </c>
      <c r="J26" s="15"/>
      <c r="L26" s="20">
        <f>'TR TE'!$L$26*'TR TE'!$L$48</f>
        <v>0</v>
      </c>
      <c r="M26" s="20">
        <f>'TR TE'!$M$26*'TR TE'!$M$48</f>
        <v>0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0</v>
      </c>
      <c r="Q26" s="20">
        <f>SUM($L$26:$P$26)</f>
        <v>0</v>
      </c>
      <c r="R26" s="20">
        <f>'TR TE'!$R$26*'TR TE'!$R$48</f>
        <v>165.01488490304467</v>
      </c>
      <c r="S26" s="20">
        <f>SUM($R$26:$R$26)</f>
        <v>165.01488490304467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0</v>
      </c>
      <c r="AA26" s="20">
        <f>SUM($Z$26:$Z$26)</f>
        <v>0</v>
      </c>
      <c r="AB26" s="20">
        <f>SUMIF($L$4:$AA$4,"SUBTOTAL",$L$26:$AA$26)</f>
        <v>165.01488490304467</v>
      </c>
    </row>
    <row r="27" spans="1:28" ht="11.25" customHeight="1" x14ac:dyDescent="0.25">
      <c r="A27" s="97"/>
      <c r="B27" s="22" t="s">
        <v>84</v>
      </c>
      <c r="C27" s="22" t="s">
        <v>41</v>
      </c>
      <c r="D27" s="22" t="s">
        <v>88</v>
      </c>
      <c r="E27" s="22" t="s">
        <v>25</v>
      </c>
      <c r="F27" s="22" t="s">
        <v>25</v>
      </c>
      <c r="G27" s="23" t="s">
        <v>77</v>
      </c>
      <c r="H27" s="23" t="s">
        <v>70</v>
      </c>
      <c r="I27" s="23">
        <f>'MERCADO TE'!$U$24</f>
        <v>0</v>
      </c>
      <c r="J27" s="15"/>
      <c r="L27" s="20">
        <f>'TR TE'!$L$27*'TR TE'!$L$48</f>
        <v>0</v>
      </c>
      <c r="M27" s="20">
        <f>'TR TE'!$M$27*'TR TE'!$M$48</f>
        <v>0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0</v>
      </c>
      <c r="Q27" s="20">
        <f>SUM($L$27:$P$27)</f>
        <v>0</v>
      </c>
      <c r="R27" s="20">
        <f>'TR TE'!$R$27*'TR TE'!$R$48</f>
        <v>165.01488490304467</v>
      </c>
      <c r="S27" s="20">
        <f>SUM($R$27:$R$27)</f>
        <v>165.01488490304467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0</v>
      </c>
      <c r="AA27" s="20">
        <f>SUM($Z$27:$Z$27)</f>
        <v>0</v>
      </c>
      <c r="AB27" s="20">
        <f>SUMIF($L$4:$AA$4,"SUBTOTAL",$L$27:$AA$27)</f>
        <v>165.01488490304467</v>
      </c>
    </row>
    <row r="28" spans="1:28" ht="11.25" customHeight="1" x14ac:dyDescent="0.25">
      <c r="A28" s="97"/>
      <c r="B28" s="97" t="s">
        <v>69</v>
      </c>
      <c r="C28" s="97" t="s">
        <v>41</v>
      </c>
      <c r="D28" s="97" t="s">
        <v>89</v>
      </c>
      <c r="E28" s="97" t="s">
        <v>25</v>
      </c>
      <c r="F28" s="97" t="s">
        <v>25</v>
      </c>
      <c r="G28" s="23" t="s">
        <v>71</v>
      </c>
      <c r="H28" s="23" t="s">
        <v>70</v>
      </c>
      <c r="I28" s="23">
        <f>'MERCADO TE'!$U$25</f>
        <v>0</v>
      </c>
      <c r="J28" s="15"/>
      <c r="L28" s="20">
        <f>'TR TE'!$L$28*'TR TE'!$L$48</f>
        <v>0</v>
      </c>
      <c r="M28" s="20">
        <f>'TR TE'!$M$28*'TR TE'!$M$48</f>
        <v>0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0</v>
      </c>
      <c r="Q28" s="20">
        <f>SUM($L$28:$P$28)</f>
        <v>0</v>
      </c>
      <c r="R28" s="20">
        <f>'TR TE'!$R$28*'TR TE'!$R$48</f>
        <v>165.01488490304467</v>
      </c>
      <c r="S28" s="20">
        <f>SUM($R$28:$R$28)</f>
        <v>165.01488490304467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0</v>
      </c>
      <c r="AA28" s="20">
        <f>SUM($Z$28:$Z$28)</f>
        <v>0</v>
      </c>
      <c r="AB28" s="20">
        <f>SUMIF($L$4:$AA$4,"SUBTOTAL",$L$28:$AA$28)</f>
        <v>165.01488490304467</v>
      </c>
    </row>
    <row r="29" spans="1:28" ht="11.25" customHeight="1" x14ac:dyDescent="0.25">
      <c r="A29" s="97"/>
      <c r="B29" s="97"/>
      <c r="C29" s="97"/>
      <c r="D29" s="97"/>
      <c r="E29" s="97"/>
      <c r="F29" s="97"/>
      <c r="G29" s="23" t="s">
        <v>83</v>
      </c>
      <c r="H29" s="23" t="s">
        <v>70</v>
      </c>
      <c r="I29" s="23">
        <f>'MERCADO TE'!$U$26</f>
        <v>0</v>
      </c>
      <c r="J29" s="15"/>
      <c r="L29" s="20">
        <f>'TR TE'!$L$29*'TR TE'!$L$48</f>
        <v>0</v>
      </c>
      <c r="M29" s="20">
        <f>'TR TE'!$M$29*'TR TE'!$M$48</f>
        <v>0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0</v>
      </c>
      <c r="Q29" s="20">
        <f>SUM($L$29:$P$29)</f>
        <v>0</v>
      </c>
      <c r="R29" s="20">
        <f>'TR TE'!$R$29*'TR TE'!$R$48</f>
        <v>165.01488490304467</v>
      </c>
      <c r="S29" s="20">
        <f>SUM($R$29:$R$29)</f>
        <v>165.01488490304467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0</v>
      </c>
      <c r="AA29" s="20">
        <f>SUM($Z$29:$Z$29)</f>
        <v>0</v>
      </c>
      <c r="AB29" s="20">
        <f>SUMIF($L$4:$AA$4,"SUBTOTAL",$L$29:$AA$29)</f>
        <v>165.01488490304467</v>
      </c>
    </row>
    <row r="30" spans="1:28" ht="11.25" customHeight="1" x14ac:dyDescent="0.25">
      <c r="A30" s="97"/>
      <c r="B30" s="97"/>
      <c r="C30" s="97"/>
      <c r="D30" s="97"/>
      <c r="E30" s="97"/>
      <c r="F30" s="97"/>
      <c r="G30" s="23" t="s">
        <v>72</v>
      </c>
      <c r="H30" s="23" t="s">
        <v>70</v>
      </c>
      <c r="I30" s="23">
        <f>'MERCADO TE'!$U$27</f>
        <v>0</v>
      </c>
      <c r="J30" s="15"/>
      <c r="L30" s="20">
        <f>'TR TE'!$L$30*'TR TE'!$L$48</f>
        <v>0</v>
      </c>
      <c r="M30" s="20">
        <f>'TR TE'!$M$30*'TR TE'!$M$48</f>
        <v>0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0</v>
      </c>
      <c r="Q30" s="20">
        <f>SUM($L$30:$P$30)</f>
        <v>0</v>
      </c>
      <c r="R30" s="20">
        <f>'TR TE'!$R$30*'TR TE'!$R$48</f>
        <v>165.01488490304467</v>
      </c>
      <c r="S30" s="20">
        <f>SUM($R$30:$R$30)</f>
        <v>165.01488490304467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0</v>
      </c>
      <c r="AA30" s="20">
        <f>SUM($Z$30:$Z$30)</f>
        <v>0</v>
      </c>
      <c r="AB30" s="20">
        <f>SUMIF($L$4:$AA$4,"SUBTOTAL",$L$30:$AA$30)</f>
        <v>165.01488490304467</v>
      </c>
    </row>
    <row r="31" spans="1:28" ht="11.25" customHeight="1" x14ac:dyDescent="0.25">
      <c r="A31" s="97"/>
      <c r="B31" s="22" t="s">
        <v>84</v>
      </c>
      <c r="C31" s="22" t="s">
        <v>41</v>
      </c>
      <c r="D31" s="22" t="s">
        <v>89</v>
      </c>
      <c r="E31" s="22" t="s">
        <v>25</v>
      </c>
      <c r="F31" s="22" t="s">
        <v>25</v>
      </c>
      <c r="G31" s="23" t="s">
        <v>77</v>
      </c>
      <c r="H31" s="23" t="s">
        <v>70</v>
      </c>
      <c r="I31" s="23">
        <f>'MERCADO TE'!$U$28</f>
        <v>0</v>
      </c>
      <c r="J31" s="15"/>
      <c r="L31" s="20">
        <f>'TR TE'!$L$31*'TR TE'!$L$48</f>
        <v>0</v>
      </c>
      <c r="M31" s="20">
        <f>'TR TE'!$M$31*'TR TE'!$M$48</f>
        <v>0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0</v>
      </c>
      <c r="Q31" s="20">
        <f>SUM($L$31:$P$31)</f>
        <v>0</v>
      </c>
      <c r="R31" s="20">
        <f>'TR TE'!$R$31*'TR TE'!$R$48</f>
        <v>165.01488490304467</v>
      </c>
      <c r="S31" s="20">
        <f>SUM($R$31:$R$31)</f>
        <v>165.01488490304467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0</v>
      </c>
      <c r="AA31" s="20">
        <f>SUM($Z$31:$Z$31)</f>
        <v>0</v>
      </c>
      <c r="AB31" s="20">
        <f>SUMIF($L$4:$AA$4,"SUBTOTAL",$L$31:$AA$31)</f>
        <v>165.01488490304467</v>
      </c>
    </row>
    <row r="32" spans="1:28" ht="11.25" customHeight="1" x14ac:dyDescent="0.25">
      <c r="A32" s="97"/>
      <c r="B32" s="97" t="s">
        <v>86</v>
      </c>
      <c r="C32" s="97" t="s">
        <v>41</v>
      </c>
      <c r="D32" s="22" t="s">
        <v>25</v>
      </c>
      <c r="E32" s="22" t="s">
        <v>25</v>
      </c>
      <c r="F32" s="22" t="s">
        <v>25</v>
      </c>
      <c r="G32" s="23" t="s">
        <v>77</v>
      </c>
      <c r="H32" s="23" t="s">
        <v>70</v>
      </c>
      <c r="I32" s="23">
        <f>'MERCADO TE'!$U$29</f>
        <v>0</v>
      </c>
      <c r="J32" s="15"/>
      <c r="L32" s="20">
        <f>'TR TE'!$L$32*'TR TE'!$L$48</f>
        <v>0</v>
      </c>
      <c r="M32" s="20">
        <f>'TR TE'!$M$32*'TR TE'!$M$48</f>
        <v>0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0</v>
      </c>
      <c r="Q32" s="20">
        <f>SUM($L$32:$P$32)</f>
        <v>0</v>
      </c>
      <c r="R32" s="20">
        <f>'TR TE'!$R$32*'TR TE'!$R$48</f>
        <v>165.01488490304467</v>
      </c>
      <c r="S32" s="20">
        <f>SUM($R$32:$R$32)</f>
        <v>165.01488490304467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0</v>
      </c>
      <c r="AA32" s="20">
        <f>SUM($Z$32:$Z$32)</f>
        <v>0</v>
      </c>
      <c r="AB32" s="20">
        <f>SUMIF($L$4:$AA$4,"SUBTOTAL",$L$32:$AA$32)</f>
        <v>165.01488490304467</v>
      </c>
    </row>
    <row r="33" spans="1:28" ht="11.25" customHeight="1" x14ac:dyDescent="0.25">
      <c r="A33" s="97"/>
      <c r="B33" s="97"/>
      <c r="C33" s="97"/>
      <c r="D33" s="22" t="s">
        <v>88</v>
      </c>
      <c r="E33" s="22" t="s">
        <v>25</v>
      </c>
      <c r="F33" s="22" t="s">
        <v>25</v>
      </c>
      <c r="G33" s="23" t="s">
        <v>77</v>
      </c>
      <c r="H33" s="23" t="s">
        <v>70</v>
      </c>
      <c r="I33" s="23">
        <f>'MERCADO TE'!$U$30</f>
        <v>0</v>
      </c>
      <c r="J33" s="15"/>
      <c r="L33" s="20">
        <f>'TR TE'!$L$33*'TR TE'!$L$48</f>
        <v>0</v>
      </c>
      <c r="M33" s="20">
        <f>'TR TE'!$M$33*'TR TE'!$M$48</f>
        <v>0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0</v>
      </c>
      <c r="Q33" s="20">
        <f>SUM($L$33:$P$33)</f>
        <v>0</v>
      </c>
      <c r="R33" s="20">
        <f>'TR TE'!$R$33*'TR TE'!$R$48</f>
        <v>165.01488490304467</v>
      </c>
      <c r="S33" s="20">
        <f>SUM($R$33:$R$33)</f>
        <v>165.01488490304467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0</v>
      </c>
      <c r="AA33" s="20">
        <f>SUM($Z$33:$Z$33)</f>
        <v>0</v>
      </c>
      <c r="AB33" s="20">
        <f>SUMIF($L$4:$AA$4,"SUBTOTAL",$L$33:$AA$33)</f>
        <v>165.01488490304467</v>
      </c>
    </row>
    <row r="34" spans="1:28" ht="11.25" customHeight="1" x14ac:dyDescent="0.25">
      <c r="A34" s="97"/>
      <c r="B34" s="97"/>
      <c r="C34" s="97"/>
      <c r="D34" s="22" t="s">
        <v>89</v>
      </c>
      <c r="E34" s="22" t="s">
        <v>25</v>
      </c>
      <c r="F34" s="22" t="s">
        <v>25</v>
      </c>
      <c r="G34" s="23" t="s">
        <v>77</v>
      </c>
      <c r="H34" s="23" t="s">
        <v>70</v>
      </c>
      <c r="I34" s="23">
        <f>'MERCADO TE'!$U$31</f>
        <v>0</v>
      </c>
      <c r="J34" s="15"/>
      <c r="L34" s="20">
        <f>'TR TE'!$L$34*'TR TE'!$L$48</f>
        <v>0</v>
      </c>
      <c r="M34" s="20">
        <f>'TR TE'!$M$34*'TR TE'!$M$48</f>
        <v>0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0</v>
      </c>
      <c r="Q34" s="20">
        <f>SUM($L$34:$P$34)</f>
        <v>0</v>
      </c>
      <c r="R34" s="20">
        <f>'TR TE'!$R$34*'TR TE'!$R$48</f>
        <v>165.01488490304467</v>
      </c>
      <c r="S34" s="20">
        <f>SUM($R$34:$R$34)</f>
        <v>165.01488490304467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0</v>
      </c>
      <c r="AA34" s="20">
        <f>SUM($Z$34:$Z$34)</f>
        <v>0</v>
      </c>
      <c r="AB34" s="20">
        <f>SUMIF($L$4:$AA$4,"SUBTOTAL",$L$34:$AA$34)</f>
        <v>165.01488490304467</v>
      </c>
    </row>
    <row r="35" spans="1:28" ht="11.25" customHeight="1" x14ac:dyDescent="0.25">
      <c r="A35" s="97" t="s">
        <v>33</v>
      </c>
      <c r="B35" s="97" t="s">
        <v>69</v>
      </c>
      <c r="C35" s="97" t="s">
        <v>25</v>
      </c>
      <c r="D35" s="97" t="s">
        <v>25</v>
      </c>
      <c r="E35" s="97" t="s">
        <v>25</v>
      </c>
      <c r="F35" s="97" t="s">
        <v>25</v>
      </c>
      <c r="G35" s="23" t="s">
        <v>71</v>
      </c>
      <c r="H35" s="23" t="s">
        <v>70</v>
      </c>
      <c r="I35" s="23">
        <f>'MERCADO TE'!$U$32</f>
        <v>0</v>
      </c>
      <c r="J35" s="15"/>
      <c r="L35" s="20">
        <f>'TR TE'!$L$35*'TR TE'!$L$48</f>
        <v>0</v>
      </c>
      <c r="M35" s="20">
        <f>'TR TE'!$M$35*'TR TE'!$M$48</f>
        <v>0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0</v>
      </c>
      <c r="Q35" s="20">
        <f>SUM($L$35:$P$35)</f>
        <v>0</v>
      </c>
      <c r="R35" s="20">
        <f>'TR TE'!$R$35*'TR TE'!$R$48</f>
        <v>165.01488490304467</v>
      </c>
      <c r="S35" s="20">
        <f>SUM($R$35:$R$35)</f>
        <v>165.01488490304467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0</v>
      </c>
      <c r="AA35" s="20">
        <f>SUM($Z$35:$Z$35)</f>
        <v>0</v>
      </c>
      <c r="AB35" s="20">
        <f>SUMIF($L$4:$AA$4,"SUBTOTAL",$L$35:$AA$35)</f>
        <v>165.01488490304467</v>
      </c>
    </row>
    <row r="36" spans="1:28" ht="11.25" customHeight="1" x14ac:dyDescent="0.25">
      <c r="A36" s="97"/>
      <c r="B36" s="97"/>
      <c r="C36" s="97"/>
      <c r="D36" s="97"/>
      <c r="E36" s="97"/>
      <c r="F36" s="97"/>
      <c r="G36" s="23" t="s">
        <v>83</v>
      </c>
      <c r="H36" s="23" t="s">
        <v>70</v>
      </c>
      <c r="I36" s="23">
        <f>'MERCADO TE'!$U$33</f>
        <v>0</v>
      </c>
      <c r="J36" s="15"/>
      <c r="L36" s="20">
        <f>'TR TE'!$L$36*'TR TE'!$L$48</f>
        <v>0</v>
      </c>
      <c r="M36" s="20">
        <f>'TR TE'!$M$36*'TR TE'!$M$48</f>
        <v>0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0</v>
      </c>
      <c r="Q36" s="20">
        <f>SUM($L$36:$P$36)</f>
        <v>0</v>
      </c>
      <c r="R36" s="20">
        <f>'TR TE'!$R$36*'TR TE'!$R$48</f>
        <v>165.01488490304467</v>
      </c>
      <c r="S36" s="20">
        <f>SUM($R$36:$R$36)</f>
        <v>165.01488490304467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0</v>
      </c>
      <c r="AA36" s="20">
        <f>SUM($Z$36:$Z$36)</f>
        <v>0</v>
      </c>
      <c r="AB36" s="20">
        <f>SUMIF($L$4:$AA$4,"SUBTOTAL",$L$36:$AA$36)</f>
        <v>165.01488490304467</v>
      </c>
    </row>
    <row r="37" spans="1:28" ht="11.25" customHeight="1" x14ac:dyDescent="0.25">
      <c r="A37" s="97"/>
      <c r="B37" s="97"/>
      <c r="C37" s="97"/>
      <c r="D37" s="97"/>
      <c r="E37" s="97"/>
      <c r="F37" s="97"/>
      <c r="G37" s="23" t="s">
        <v>72</v>
      </c>
      <c r="H37" s="23" t="s">
        <v>70</v>
      </c>
      <c r="I37" s="23">
        <f>'MERCADO TE'!$U$34</f>
        <v>0</v>
      </c>
      <c r="J37" s="15"/>
      <c r="L37" s="20">
        <f>'TR TE'!$L$37*'TR TE'!$L$48</f>
        <v>0</v>
      </c>
      <c r="M37" s="20">
        <f>'TR TE'!$M$37*'TR TE'!$M$48</f>
        <v>0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0</v>
      </c>
      <c r="Q37" s="20">
        <f>SUM($L$37:$P$37)</f>
        <v>0</v>
      </c>
      <c r="R37" s="20">
        <f>'TR TE'!$R$37*'TR TE'!$R$48</f>
        <v>165.01488490304467</v>
      </c>
      <c r="S37" s="20">
        <f>SUM($R$37:$R$37)</f>
        <v>165.01488490304467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0</v>
      </c>
      <c r="AA37" s="20">
        <f>SUM($Z$37:$Z$37)</f>
        <v>0</v>
      </c>
      <c r="AB37" s="20">
        <f>SUMIF($L$4:$AA$4,"SUBTOTAL",$L$37:$AA$37)</f>
        <v>165.01488490304467</v>
      </c>
    </row>
    <row r="38" spans="1:28" ht="11.25" customHeight="1" x14ac:dyDescent="0.25">
      <c r="A38" s="97"/>
      <c r="B38" s="22" t="s">
        <v>84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77</v>
      </c>
      <c r="H38" s="23" t="s">
        <v>70</v>
      </c>
      <c r="I38" s="23">
        <f>'MERCADO TE'!$U$35</f>
        <v>4711.0929999999998</v>
      </c>
      <c r="J38" s="15"/>
      <c r="L38" s="20">
        <f>'TR TE'!$L$38*'TR TE'!$L$48</f>
        <v>0</v>
      </c>
      <c r="M38" s="20">
        <f>'TR TE'!$M$38*'TR TE'!$M$48</f>
        <v>0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0</v>
      </c>
      <c r="Q38" s="20">
        <f>SUM($L$38:$P$38)</f>
        <v>0</v>
      </c>
      <c r="R38" s="20">
        <f>'TR TE'!$R$38*'TR TE'!$R$48</f>
        <v>165.01488490304467</v>
      </c>
      <c r="S38" s="20">
        <f>SUM($R$38:$R$38)</f>
        <v>165.01488490304467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0</v>
      </c>
      <c r="AA38" s="20">
        <f>SUM($Z$38:$Z$38)</f>
        <v>0</v>
      </c>
      <c r="AB38" s="20">
        <f>SUMIF($L$4:$AA$4,"SUBTOTAL",$L$38:$AA$38)</f>
        <v>165.01488490304467</v>
      </c>
    </row>
    <row r="39" spans="1:28" ht="11.25" customHeight="1" x14ac:dyDescent="0.25">
      <c r="A39" s="97"/>
      <c r="B39" s="22" t="s">
        <v>86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77</v>
      </c>
      <c r="H39" s="23" t="s">
        <v>70</v>
      </c>
      <c r="I39" s="23">
        <f>'MERCADO TE'!$U$36</f>
        <v>0</v>
      </c>
      <c r="J39" s="15"/>
      <c r="L39" s="20">
        <f>'TR TE'!$L$39*'TR TE'!$L$48</f>
        <v>0</v>
      </c>
      <c r="M39" s="20">
        <f>'TR TE'!$M$39*'TR TE'!$M$48</f>
        <v>0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0</v>
      </c>
      <c r="Q39" s="20">
        <f>SUM($L$39:$P$39)</f>
        <v>0</v>
      </c>
      <c r="R39" s="20">
        <f>'TR TE'!$R$39*'TR TE'!$R$48</f>
        <v>165.01488490304467</v>
      </c>
      <c r="S39" s="20">
        <f>SUM($R$39:$R$39)</f>
        <v>165.01488490304467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0</v>
      </c>
      <c r="AA39" s="20">
        <f>SUM($Z$39:$Z$39)</f>
        <v>0</v>
      </c>
      <c r="AB39" s="20">
        <f>SUMIF($L$4:$AA$4,"SUBTOTAL",$L$39:$AA$39)</f>
        <v>165.01488490304467</v>
      </c>
    </row>
    <row r="40" spans="1:28" ht="11.25" customHeight="1" x14ac:dyDescent="0.25">
      <c r="A40" s="97" t="s">
        <v>43</v>
      </c>
      <c r="B40" s="97" t="s">
        <v>84</v>
      </c>
      <c r="C40" s="97" t="s">
        <v>44</v>
      </c>
      <c r="D40" s="22" t="s">
        <v>45</v>
      </c>
      <c r="E40" s="22" t="s">
        <v>25</v>
      </c>
      <c r="F40" s="22" t="s">
        <v>25</v>
      </c>
      <c r="G40" s="23" t="s">
        <v>77</v>
      </c>
      <c r="H40" s="23" t="s">
        <v>70</v>
      </c>
      <c r="I40" s="23">
        <f>'MERCADO TE'!$U$37</f>
        <v>1954.79</v>
      </c>
      <c r="J40" s="15"/>
      <c r="L40" s="20">
        <f>'TR TE'!$L$40*'TR TE'!$L$48</f>
        <v>0</v>
      </c>
      <c r="M40" s="20">
        <f>'TR TE'!$M$40*'TR TE'!$M$48</f>
        <v>0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0</v>
      </c>
      <c r="Q40" s="20">
        <f>SUM($L$40:$P$40)</f>
        <v>0</v>
      </c>
      <c r="R40" s="20">
        <f>'TR TE'!$R$40*'TR TE'!$R$48</f>
        <v>90.758186696674585</v>
      </c>
      <c r="S40" s="20">
        <f>SUM($R$40:$R$40)</f>
        <v>90.758186696674585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0</v>
      </c>
      <c r="AA40" s="20">
        <f>SUM($Z$40:$Z$40)</f>
        <v>0</v>
      </c>
      <c r="AB40" s="20">
        <f>SUMIF($L$4:$AA$4,"SUBTOTAL",$L$40:$AA$40)</f>
        <v>90.758186696674585</v>
      </c>
    </row>
    <row r="41" spans="1:28" ht="11.25" customHeight="1" x14ac:dyDescent="0.25">
      <c r="A41" s="97"/>
      <c r="B41" s="97"/>
      <c r="C41" s="97"/>
      <c r="D41" s="23" t="s">
        <v>46</v>
      </c>
      <c r="E41" s="23" t="s">
        <v>25</v>
      </c>
      <c r="F41" s="23" t="s">
        <v>25</v>
      </c>
      <c r="G41" s="23" t="s">
        <v>77</v>
      </c>
      <c r="H41" s="23" t="s">
        <v>70</v>
      </c>
      <c r="I41" s="23">
        <f>'MERCADO TE'!$U$38</f>
        <v>1.4530000000000001</v>
      </c>
      <c r="J41" s="15"/>
      <c r="L41" s="20">
        <f>'TR TE'!$L$41*'TR TE'!$L$48</f>
        <v>0</v>
      </c>
      <c r="M41" s="20">
        <f>'TR TE'!$M$41*'TR TE'!$M$48</f>
        <v>0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0</v>
      </c>
      <c r="Q41" s="20">
        <f>SUM($L$41:$P$41)</f>
        <v>0</v>
      </c>
      <c r="R41" s="20">
        <f>'TR TE'!$R$41*'TR TE'!$R$48</f>
        <v>99.008930941826804</v>
      </c>
      <c r="S41" s="20">
        <f>SUM($R$41:$R$41)</f>
        <v>99.008930941826804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0</v>
      </c>
      <c r="AA41" s="20">
        <f>SUM($Z$41:$Z$41)</f>
        <v>0</v>
      </c>
      <c r="AB41" s="20">
        <f>SUMIF($L$4:$AA$4,"SUBTOTAL",$L$41:$AA$41)</f>
        <v>99.008930941826804</v>
      </c>
    </row>
    <row r="43" spans="1:28" ht="11.25" customHeight="1" x14ac:dyDescent="0.25">
      <c r="K43" s="25" t="s">
        <v>474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4566747.0555940801</v>
      </c>
      <c r="S43" s="20">
        <f t="shared" si="0"/>
        <v>4566747.0555940801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4566747.0555940801</v>
      </c>
    </row>
    <row r="44" spans="1:28" ht="11.25" customHeight="1" x14ac:dyDescent="0.25">
      <c r="K44" s="25" t="s">
        <v>393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4566747.0555940801</v>
      </c>
      <c r="S44" s="20">
        <f>CUSTOS!$D$37</f>
        <v>4566747.0555940801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4566747.0555940801</v>
      </c>
    </row>
    <row r="45" spans="1:28" ht="11.25" customHeight="1" x14ac:dyDescent="0.25">
      <c r="K45" s="25" t="s">
        <v>394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-306012.83600077045</v>
      </c>
      <c r="S45" s="20">
        <f>CUSTOS!$E$37</f>
        <v>-306012.83600077045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-306012.83600077045</v>
      </c>
    </row>
    <row r="46" spans="1:28" ht="11.25" customHeight="1" x14ac:dyDescent="0.25">
      <c r="K46" s="25" t="s">
        <v>395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475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-10.887128494246179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462</v>
      </c>
      <c r="L48" s="20">
        <f>IF(L44&lt;&gt;0,L45/L44,0)</f>
        <v>0</v>
      </c>
      <c r="M48" s="20">
        <f>IF(M44&lt;&gt;0,M45/M44,0)</f>
        <v>0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-6.7008930487165289E-2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0</v>
      </c>
      <c r="Y48" s="20"/>
      <c r="Z48" s="20">
        <f>IF(Z44&lt;&gt;0,Z45/Z44,0)</f>
        <v>0</v>
      </c>
      <c r="AA48" s="20"/>
      <c r="AB48" s="20"/>
    </row>
    <row r="49" spans="11:28" ht="11.25" customHeight="1" x14ac:dyDescent="0.25">
      <c r="K49" s="25" t="s">
        <v>477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554" priority="33" operator="notEqual">
      <formula>$L$44</formula>
    </cfRule>
    <cfRule type="cellIs" dxfId="553" priority="34" operator="equal">
      <formula>$L$44</formula>
    </cfRule>
  </conditionalFormatting>
  <conditionalFormatting sqref="M43">
    <cfRule type="cellIs" dxfId="552" priority="31" operator="notEqual">
      <formula>$M$44</formula>
    </cfRule>
    <cfRule type="cellIs" dxfId="551" priority="32" operator="equal">
      <formula>$M$44</formula>
    </cfRule>
  </conditionalFormatting>
  <conditionalFormatting sqref="N43">
    <cfRule type="cellIs" dxfId="550" priority="29" operator="notEqual">
      <formula>$N$44</formula>
    </cfRule>
    <cfRule type="cellIs" dxfId="549" priority="30" operator="equal">
      <formula>$N$44</formula>
    </cfRule>
  </conditionalFormatting>
  <conditionalFormatting sqref="O43">
    <cfRule type="cellIs" dxfId="548" priority="27" operator="notEqual">
      <formula>$O$44</formula>
    </cfRule>
    <cfRule type="cellIs" dxfId="547" priority="28" operator="equal">
      <formula>$O$44</formula>
    </cfRule>
  </conditionalFormatting>
  <conditionalFormatting sqref="P43">
    <cfRule type="cellIs" dxfId="546" priority="25" operator="notEqual">
      <formula>$P$44</formula>
    </cfRule>
    <cfRule type="cellIs" dxfId="545" priority="26" operator="equal">
      <formula>$P$44</formula>
    </cfRule>
  </conditionalFormatting>
  <conditionalFormatting sqref="Q43">
    <cfRule type="cellIs" dxfId="544" priority="23" operator="notEqual">
      <formula>$Q$44</formula>
    </cfRule>
    <cfRule type="cellIs" dxfId="543" priority="24" operator="equal">
      <formula>$Q$44</formula>
    </cfRule>
  </conditionalFormatting>
  <conditionalFormatting sqref="R43">
    <cfRule type="cellIs" dxfId="542" priority="21" operator="notEqual">
      <formula>$R$44</formula>
    </cfRule>
    <cfRule type="cellIs" dxfId="541" priority="22" operator="equal">
      <formula>$R$44</formula>
    </cfRule>
  </conditionalFormatting>
  <conditionalFormatting sqref="S43">
    <cfRule type="cellIs" dxfId="540" priority="19" operator="notEqual">
      <formula>$S$44</formula>
    </cfRule>
    <cfRule type="cellIs" dxfId="539" priority="20" operator="equal">
      <formula>$S$44</formula>
    </cfRule>
  </conditionalFormatting>
  <conditionalFormatting sqref="T43">
    <cfRule type="cellIs" dxfId="538" priority="17" operator="notEqual">
      <formula>$T$44</formula>
    </cfRule>
    <cfRule type="cellIs" dxfId="537" priority="18" operator="equal">
      <formula>$T$44</formula>
    </cfRule>
  </conditionalFormatting>
  <conditionalFormatting sqref="U43">
    <cfRule type="cellIs" dxfId="536" priority="15" operator="notEqual">
      <formula>$U$44</formula>
    </cfRule>
    <cfRule type="cellIs" dxfId="535" priority="16" operator="equal">
      <formula>$U$44</formula>
    </cfRule>
  </conditionalFormatting>
  <conditionalFormatting sqref="V43">
    <cfRule type="cellIs" dxfId="534" priority="13" operator="notEqual">
      <formula>$V$44</formula>
    </cfRule>
    <cfRule type="cellIs" dxfId="533" priority="14" operator="equal">
      <formula>$V$44</formula>
    </cfRule>
  </conditionalFormatting>
  <conditionalFormatting sqref="W43">
    <cfRule type="cellIs" dxfId="532" priority="11" operator="notEqual">
      <formula>$W$44</formula>
    </cfRule>
    <cfRule type="cellIs" dxfId="531" priority="12" operator="equal">
      <formula>$W$44</formula>
    </cfRule>
  </conditionalFormatting>
  <conditionalFormatting sqref="X43">
    <cfRule type="cellIs" dxfId="530" priority="9" operator="notEqual">
      <formula>$X$44</formula>
    </cfRule>
    <cfRule type="cellIs" dxfId="529" priority="10" operator="equal">
      <formula>$X$44</formula>
    </cfRule>
  </conditionalFormatting>
  <conditionalFormatting sqref="Y43">
    <cfRule type="cellIs" dxfId="528" priority="7" operator="notEqual">
      <formula>$Y$44</formula>
    </cfRule>
    <cfRule type="cellIs" dxfId="527" priority="8" operator="equal">
      <formula>$Y$44</formula>
    </cfRule>
  </conditionalFormatting>
  <conditionalFormatting sqref="Z43">
    <cfRule type="cellIs" dxfId="526" priority="5" operator="notEqual">
      <formula>$Z$44</formula>
    </cfRule>
    <cfRule type="cellIs" dxfId="525" priority="6" operator="equal">
      <formula>$Z$44</formula>
    </cfRule>
  </conditionalFormatting>
  <conditionalFormatting sqref="AA43">
    <cfRule type="cellIs" dxfId="524" priority="3" operator="notEqual">
      <formula>$AA$44</formula>
    </cfRule>
    <cfRule type="cellIs" dxfId="523" priority="4" operator="equal">
      <formula>$AA$44</formula>
    </cfRule>
  </conditionalFormatting>
  <conditionalFormatting sqref="AB43">
    <cfRule type="cellIs" dxfId="522" priority="1" operator="notEqual">
      <formula>$AB$44</formula>
    </cfRule>
    <cfRule type="cellIs" dxfId="521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16D0-BCDA-4EA9-B494-BAE7288D632D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98" t="s">
        <v>60</v>
      </c>
      <c r="B1" s="98" t="s">
        <v>61</v>
      </c>
      <c r="C1" s="98" t="s">
        <v>62</v>
      </c>
      <c r="D1" s="98" t="s">
        <v>63</v>
      </c>
      <c r="E1" s="98" t="s">
        <v>64</v>
      </c>
      <c r="F1" s="98" t="s">
        <v>15</v>
      </c>
      <c r="G1" s="98" t="s">
        <v>66</v>
      </c>
      <c r="H1" s="98" t="s">
        <v>67</v>
      </c>
      <c r="I1" s="98" t="s">
        <v>452</v>
      </c>
      <c r="J1" s="82"/>
      <c r="L1" s="99" t="s">
        <v>479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</row>
    <row r="2" spans="1:28" ht="11.25" customHeight="1" x14ac:dyDescent="0.25">
      <c r="A2" s="98"/>
      <c r="B2" s="98"/>
      <c r="C2" s="98"/>
      <c r="D2" s="98"/>
      <c r="E2" s="98"/>
      <c r="F2" s="98"/>
      <c r="G2" s="98"/>
      <c r="H2" s="98"/>
      <c r="I2" s="98"/>
      <c r="J2" s="82"/>
      <c r="L2" s="99" t="s">
        <v>379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</row>
    <row r="3" spans="1:28" ht="11.25" customHeight="1" x14ac:dyDescent="0.25">
      <c r="A3" s="98"/>
      <c r="B3" s="98"/>
      <c r="C3" s="98"/>
      <c r="D3" s="98"/>
      <c r="E3" s="98"/>
      <c r="F3" s="98"/>
      <c r="G3" s="98"/>
      <c r="H3" s="98"/>
      <c r="I3" s="98"/>
      <c r="J3" s="82"/>
      <c r="L3" s="99" t="s">
        <v>352</v>
      </c>
      <c r="M3" s="99"/>
      <c r="N3" s="99"/>
      <c r="O3" s="99"/>
      <c r="P3" s="99"/>
      <c r="Q3" s="99"/>
      <c r="R3" s="99" t="s">
        <v>383</v>
      </c>
      <c r="S3" s="99"/>
      <c r="T3" s="99" t="s">
        <v>361</v>
      </c>
      <c r="U3" s="99"/>
      <c r="V3" s="99"/>
      <c r="W3" s="99"/>
      <c r="X3" s="99" t="s">
        <v>371</v>
      </c>
      <c r="Y3" s="99"/>
      <c r="Z3" s="99" t="s">
        <v>374</v>
      </c>
      <c r="AA3" s="99"/>
      <c r="AB3" s="99" t="s">
        <v>360</v>
      </c>
    </row>
    <row r="4" spans="1:28" ht="11.25" customHeight="1" x14ac:dyDescent="0.25">
      <c r="A4" s="98"/>
      <c r="B4" s="98"/>
      <c r="C4" s="98"/>
      <c r="D4" s="98"/>
      <c r="E4" s="98"/>
      <c r="F4" s="98"/>
      <c r="G4" s="98"/>
      <c r="H4" s="98"/>
      <c r="I4" s="98"/>
      <c r="J4" s="82"/>
      <c r="L4" s="24" t="s">
        <v>354</v>
      </c>
      <c r="M4" s="24" t="s">
        <v>380</v>
      </c>
      <c r="N4" s="24" t="s">
        <v>381</v>
      </c>
      <c r="O4" s="24" t="s">
        <v>440</v>
      </c>
      <c r="P4" s="24" t="s">
        <v>382</v>
      </c>
      <c r="Q4" s="24" t="s">
        <v>360</v>
      </c>
      <c r="R4" s="24" t="s">
        <v>384</v>
      </c>
      <c r="S4" s="24" t="s">
        <v>360</v>
      </c>
      <c r="T4" s="24" t="s">
        <v>385</v>
      </c>
      <c r="U4" s="24" t="s">
        <v>386</v>
      </c>
      <c r="V4" s="24" t="s">
        <v>387</v>
      </c>
      <c r="W4" s="24" t="s">
        <v>360</v>
      </c>
      <c r="X4" s="24" t="s">
        <v>372</v>
      </c>
      <c r="Y4" s="24" t="s">
        <v>360</v>
      </c>
      <c r="Z4" s="24" t="s">
        <v>388</v>
      </c>
      <c r="AA4" s="24" t="s">
        <v>360</v>
      </c>
      <c r="AB4" s="100"/>
    </row>
    <row r="5" spans="1:28" ht="11.25" customHeight="1" x14ac:dyDescent="0.25">
      <c r="A5" s="97" t="s">
        <v>35</v>
      </c>
      <c r="B5" s="97" t="s">
        <v>69</v>
      </c>
      <c r="C5" s="97" t="s">
        <v>25</v>
      </c>
      <c r="D5" s="97" t="s">
        <v>25</v>
      </c>
      <c r="E5" s="97" t="s">
        <v>25</v>
      </c>
      <c r="F5" s="97" t="s">
        <v>25</v>
      </c>
      <c r="G5" s="23" t="s">
        <v>71</v>
      </c>
      <c r="H5" s="23" t="s">
        <v>70</v>
      </c>
      <c r="I5" s="23">
        <f>'MERCADO TE'!$U$2</f>
        <v>232.29900000000001</v>
      </c>
      <c r="J5" s="15"/>
      <c r="L5" s="20">
        <f>'TE BE'!$L$5*'TE BE'!$L$48</f>
        <v>0</v>
      </c>
      <c r="M5" s="20">
        <f>'TE BE'!$M$5*'TE BE'!$M$48</f>
        <v>0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0</v>
      </c>
      <c r="R5" s="20">
        <f>'TE BE'!$R$5*'TE BE'!$R$48</f>
        <v>-11.057470951815702</v>
      </c>
      <c r="S5" s="20">
        <f>SUM($R$5:$R$5)</f>
        <v>-11.057470951815702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0</v>
      </c>
      <c r="Y5" s="20">
        <f>SUM($X$5:$X$5)</f>
        <v>0</v>
      </c>
      <c r="Z5" s="20">
        <f>'TE BE'!$Z$5*'TE BE'!$Z$48</f>
        <v>0</v>
      </c>
      <c r="AA5" s="20">
        <f>SUM($Z$5:$Z$5)</f>
        <v>0</v>
      </c>
      <c r="AB5" s="20">
        <f>SUMIF($L$4:$AA$4,"SUBTOTAL",$L$5:$AA$5)</f>
        <v>-11.057470951815702</v>
      </c>
    </row>
    <row r="6" spans="1:28" ht="11.25" customHeight="1" x14ac:dyDescent="0.25">
      <c r="A6" s="97"/>
      <c r="B6" s="97"/>
      <c r="C6" s="97"/>
      <c r="D6" s="97"/>
      <c r="E6" s="97"/>
      <c r="F6" s="97"/>
      <c r="G6" s="23" t="s">
        <v>72</v>
      </c>
      <c r="H6" s="23" t="s">
        <v>70</v>
      </c>
      <c r="I6" s="23">
        <f>'MERCADO TE'!$U$3</f>
        <v>7582.5569999999989</v>
      </c>
      <c r="J6" s="15"/>
      <c r="L6" s="20">
        <f>'TE BE'!$L$6*'TE BE'!$L$48</f>
        <v>0</v>
      </c>
      <c r="M6" s="20">
        <f>'TE BE'!$M$6*'TE BE'!$M$48</f>
        <v>0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0</v>
      </c>
      <c r="R6" s="20">
        <f>'TE BE'!$R$6*'TE BE'!$R$48</f>
        <v>-11.057470951815702</v>
      </c>
      <c r="S6" s="20">
        <f>SUM($R$6:$R$6)</f>
        <v>-11.057470951815702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0</v>
      </c>
      <c r="Y6" s="20">
        <f>SUM($X$6:$X$6)</f>
        <v>0</v>
      </c>
      <c r="Z6" s="20">
        <f>'TE BE'!$Z$6*'TE BE'!$Z$48</f>
        <v>0</v>
      </c>
      <c r="AA6" s="20">
        <f>SUM($Z$6:$Z$6)</f>
        <v>0</v>
      </c>
      <c r="AB6" s="20">
        <f>SUMIF($L$4:$AA$4,"SUBTOTAL",$L$6:$AA$6)</f>
        <v>-11.057470951815702</v>
      </c>
    </row>
    <row r="7" spans="1:28" ht="11.25" customHeight="1" x14ac:dyDescent="0.25">
      <c r="A7" s="97" t="s">
        <v>22</v>
      </c>
      <c r="B7" s="97" t="s">
        <v>69</v>
      </c>
      <c r="C7" s="97" t="s">
        <v>24</v>
      </c>
      <c r="D7" s="97" t="s">
        <v>24</v>
      </c>
      <c r="E7" s="97" t="s">
        <v>25</v>
      </c>
      <c r="F7" s="97" t="s">
        <v>25</v>
      </c>
      <c r="G7" s="23" t="s">
        <v>71</v>
      </c>
      <c r="H7" s="23" t="s">
        <v>70</v>
      </c>
      <c r="I7" s="23">
        <f>'MERCADO TE'!$U$4</f>
        <v>0</v>
      </c>
      <c r="J7" s="15"/>
      <c r="L7" s="20">
        <f>'TE BE'!$L$7*'TE BE'!$L$48</f>
        <v>0</v>
      </c>
      <c r="M7" s="20">
        <f>'TE BE'!$M$7*'TE BE'!$M$48</f>
        <v>0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0</v>
      </c>
      <c r="R7" s="20">
        <f>'TE BE'!$R$7*'TE BE'!$R$48</f>
        <v>-11.057470951815702</v>
      </c>
      <c r="S7" s="20">
        <f>SUM($R$7:$R$7)</f>
        <v>-11.057470951815702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0</v>
      </c>
      <c r="Y7" s="20">
        <f>SUM($X$7:$X$7)</f>
        <v>0</v>
      </c>
      <c r="Z7" s="20">
        <f>'TE BE'!$Z$7*'TE BE'!$Z$48</f>
        <v>0</v>
      </c>
      <c r="AA7" s="20">
        <f>SUM($Z$7:$Z$7)</f>
        <v>0</v>
      </c>
      <c r="AB7" s="20">
        <f>SUMIF($L$4:$AA$4,"SUBTOTAL",$L$7:$AA$7)</f>
        <v>-11.057470951815702</v>
      </c>
    </row>
    <row r="8" spans="1:28" ht="11.25" customHeight="1" x14ac:dyDescent="0.25">
      <c r="A8" s="97"/>
      <c r="B8" s="97"/>
      <c r="C8" s="97"/>
      <c r="D8" s="97"/>
      <c r="E8" s="97"/>
      <c r="F8" s="97"/>
      <c r="G8" s="23" t="s">
        <v>83</v>
      </c>
      <c r="H8" s="23" t="s">
        <v>70</v>
      </c>
      <c r="I8" s="23">
        <f>'MERCADO TE'!$U$5</f>
        <v>0</v>
      </c>
      <c r="J8" s="15"/>
      <c r="L8" s="20">
        <f>'TE BE'!$L$8*'TE BE'!$L$48</f>
        <v>0</v>
      </c>
      <c r="M8" s="20">
        <f>'TE BE'!$M$8*'TE BE'!$M$48</f>
        <v>0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0</v>
      </c>
      <c r="R8" s="20">
        <f>'TE BE'!$R$8*'TE BE'!$R$48</f>
        <v>-11.057470951815702</v>
      </c>
      <c r="S8" s="20">
        <f>SUM($R$8:$R$8)</f>
        <v>-11.057470951815702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0</v>
      </c>
      <c r="Y8" s="20">
        <f>SUM($X$8:$X$8)</f>
        <v>0</v>
      </c>
      <c r="Z8" s="20">
        <f>'TE BE'!$Z$8*'TE BE'!$Z$48</f>
        <v>0</v>
      </c>
      <c r="AA8" s="20">
        <f>SUM($Z$8:$Z$8)</f>
        <v>0</v>
      </c>
      <c r="AB8" s="20">
        <f>SUMIF($L$4:$AA$4,"SUBTOTAL",$L$8:$AA$8)</f>
        <v>-11.057470951815702</v>
      </c>
    </row>
    <row r="9" spans="1:28" ht="11.25" customHeight="1" x14ac:dyDescent="0.25">
      <c r="A9" s="97"/>
      <c r="B9" s="97"/>
      <c r="C9" s="97"/>
      <c r="D9" s="97"/>
      <c r="E9" s="97"/>
      <c r="F9" s="97"/>
      <c r="G9" s="23" t="s">
        <v>72</v>
      </c>
      <c r="H9" s="23" t="s">
        <v>70</v>
      </c>
      <c r="I9" s="23">
        <f>'MERCADO TE'!$U$6</f>
        <v>0</v>
      </c>
      <c r="J9" s="15"/>
      <c r="L9" s="20">
        <f>'TE BE'!$L$9*'TE BE'!$L$48</f>
        <v>0</v>
      </c>
      <c r="M9" s="20">
        <f>'TE BE'!$M$9*'TE BE'!$M$48</f>
        <v>0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0</v>
      </c>
      <c r="R9" s="20">
        <f>'TE BE'!$R$9*'TE BE'!$R$48</f>
        <v>-11.057470951815702</v>
      </c>
      <c r="S9" s="20">
        <f>SUM($R$9:$R$9)</f>
        <v>-11.057470951815702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0</v>
      </c>
      <c r="Y9" s="20">
        <f>SUM($X$9:$X$9)</f>
        <v>0</v>
      </c>
      <c r="Z9" s="20">
        <f>'TE BE'!$Z$9*'TE BE'!$Z$48</f>
        <v>0</v>
      </c>
      <c r="AA9" s="20">
        <f>SUM($Z$9:$Z$9)</f>
        <v>0</v>
      </c>
      <c r="AB9" s="20">
        <f>SUMIF($L$4:$AA$4,"SUBTOTAL",$L$9:$AA$9)</f>
        <v>-11.057470951815702</v>
      </c>
    </row>
    <row r="10" spans="1:28" ht="11.25" customHeight="1" x14ac:dyDescent="0.25">
      <c r="A10" s="97"/>
      <c r="B10" s="97" t="s">
        <v>84</v>
      </c>
      <c r="C10" s="97" t="s">
        <v>24</v>
      </c>
      <c r="D10" s="22" t="s">
        <v>24</v>
      </c>
      <c r="E10" s="22" t="s">
        <v>25</v>
      </c>
      <c r="F10" s="22" t="s">
        <v>25</v>
      </c>
      <c r="G10" s="23" t="s">
        <v>77</v>
      </c>
      <c r="H10" s="23" t="s">
        <v>70</v>
      </c>
      <c r="I10" s="23">
        <f>'MERCADO TE'!$U$7</f>
        <v>10122.061</v>
      </c>
      <c r="J10" s="15"/>
      <c r="L10" s="20">
        <f>'TE BE'!$L$10*'TE BE'!$L$48</f>
        <v>0</v>
      </c>
      <c r="M10" s="20">
        <f>'TE BE'!$M$10*'TE BE'!$M$48</f>
        <v>0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0</v>
      </c>
      <c r="R10" s="20">
        <f>'TE BE'!$R$10*'TE BE'!$R$48</f>
        <v>-11.057470951815702</v>
      </c>
      <c r="S10" s="20">
        <f>SUM($R$10:$R$10)</f>
        <v>-11.057470951815702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0</v>
      </c>
      <c r="Y10" s="20">
        <f>SUM($X$10:$X$10)</f>
        <v>0</v>
      </c>
      <c r="Z10" s="20">
        <f>'TE BE'!$Z$10*'TE BE'!$Z$48</f>
        <v>0</v>
      </c>
      <c r="AA10" s="20">
        <f>SUM($Z$10:$Z$10)</f>
        <v>0</v>
      </c>
      <c r="AB10" s="20">
        <f>SUMIF($L$4:$AA$4,"SUBTOTAL",$L$10:$AA$10)</f>
        <v>-11.057470951815702</v>
      </c>
    </row>
    <row r="11" spans="1:28" ht="11.25" customHeight="1" x14ac:dyDescent="0.25">
      <c r="A11" s="97"/>
      <c r="B11" s="97"/>
      <c r="C11" s="97"/>
      <c r="D11" s="22" t="s">
        <v>29</v>
      </c>
      <c r="E11" s="22" t="s">
        <v>25</v>
      </c>
      <c r="F11" s="22" t="s">
        <v>25</v>
      </c>
      <c r="G11" s="23" t="s">
        <v>77</v>
      </c>
      <c r="H11" s="23" t="s">
        <v>70</v>
      </c>
      <c r="I11" s="23">
        <f>'MERCADO TE'!$U$8</f>
        <v>111.12200000000001</v>
      </c>
      <c r="J11" s="15"/>
      <c r="L11" s="20">
        <f>'TE BE'!$L$11*'TE BE'!$L$48</f>
        <v>0</v>
      </c>
      <c r="M11" s="20">
        <f>'TE BE'!$M$11*'TE BE'!$M$48</f>
        <v>0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0</v>
      </c>
      <c r="R11" s="20">
        <f>'TE BE'!$R$11*'TE BE'!$R$48</f>
        <v>-11.057470951815702</v>
      </c>
      <c r="S11" s="20">
        <f>SUM($R$11:$R$11)</f>
        <v>-11.057470951815702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0</v>
      </c>
      <c r="Y11" s="20">
        <f>SUM($X$11:$X$11)</f>
        <v>0</v>
      </c>
      <c r="Z11" s="20">
        <f>'TE BE'!$Z$11*'TE BE'!$Z$48</f>
        <v>0</v>
      </c>
      <c r="AA11" s="20">
        <f>SUM($Z$11:$Z$11)</f>
        <v>0</v>
      </c>
      <c r="AB11" s="20">
        <f>SUMIF($L$4:$AA$4,"SUBTOTAL",$L$11:$AA$11)</f>
        <v>-11.057470951815702</v>
      </c>
    </row>
    <row r="12" spans="1:28" ht="11.25" customHeight="1" x14ac:dyDescent="0.25">
      <c r="A12" s="97"/>
      <c r="B12" s="97"/>
      <c r="C12" s="97"/>
      <c r="D12" s="22" t="s">
        <v>30</v>
      </c>
      <c r="E12" s="22" t="s">
        <v>25</v>
      </c>
      <c r="F12" s="22" t="s">
        <v>25</v>
      </c>
      <c r="G12" s="23" t="s">
        <v>77</v>
      </c>
      <c r="H12" s="23" t="s">
        <v>70</v>
      </c>
      <c r="I12" s="23">
        <f>'MERCADO TE'!$U$9</f>
        <v>223.66</v>
      </c>
      <c r="J12" s="15"/>
      <c r="L12" s="20">
        <f>'TE BE'!$L$12*'TE BE'!$L$48</f>
        <v>0</v>
      </c>
      <c r="M12" s="20">
        <f>'TE BE'!$M$12*'TE BE'!$M$48</f>
        <v>0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0</v>
      </c>
      <c r="R12" s="20">
        <f>'TE BE'!$R$12*'TE BE'!$R$48</f>
        <v>-11.057470951815702</v>
      </c>
      <c r="S12" s="20">
        <f>SUM($R$12:$R$12)</f>
        <v>-11.057470951815702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0</v>
      </c>
      <c r="Y12" s="20">
        <f>SUM($X$12:$X$12)</f>
        <v>0</v>
      </c>
      <c r="Z12" s="20">
        <f>'TE BE'!$Z$12*'TE BE'!$Z$48</f>
        <v>0</v>
      </c>
      <c r="AA12" s="20">
        <f>SUM($Z$12:$Z$12)</f>
        <v>0</v>
      </c>
      <c r="AB12" s="20">
        <f>SUMIF($L$4:$AA$4,"SUBTOTAL",$L$12:$AA$12)</f>
        <v>-11.057470951815702</v>
      </c>
    </row>
    <row r="13" spans="1:28" ht="11.25" customHeight="1" x14ac:dyDescent="0.25">
      <c r="A13" s="97"/>
      <c r="B13" s="97"/>
      <c r="C13" s="97"/>
      <c r="D13" s="22" t="s">
        <v>31</v>
      </c>
      <c r="E13" s="22" t="s">
        <v>25</v>
      </c>
      <c r="F13" s="22" t="s">
        <v>25</v>
      </c>
      <c r="G13" s="23" t="s">
        <v>77</v>
      </c>
      <c r="H13" s="23" t="s">
        <v>70</v>
      </c>
      <c r="I13" s="23">
        <f>'MERCADO TE'!$U$10</f>
        <v>229.345</v>
      </c>
      <c r="J13" s="15"/>
      <c r="L13" s="20">
        <f>'TE BE'!$L$13*'TE BE'!$L$48</f>
        <v>0</v>
      </c>
      <c r="M13" s="20">
        <f>'TE BE'!$M$13*'TE BE'!$M$48</f>
        <v>0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0</v>
      </c>
      <c r="R13" s="20">
        <f>'TE BE'!$R$13*'TE BE'!$R$48</f>
        <v>-11.057470951815702</v>
      </c>
      <c r="S13" s="20">
        <f>SUM($R$13:$R$13)</f>
        <v>-11.057470951815702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0</v>
      </c>
      <c r="Y13" s="20">
        <f>SUM($X$13:$X$13)</f>
        <v>0</v>
      </c>
      <c r="Z13" s="20">
        <f>'TE BE'!$Z$13*'TE BE'!$Z$48</f>
        <v>0</v>
      </c>
      <c r="AA13" s="20">
        <f>SUM($Z$13:$Z$13)</f>
        <v>0</v>
      </c>
      <c r="AB13" s="20">
        <f>SUMIF($L$4:$AA$4,"SUBTOTAL",$L$13:$AA$13)</f>
        <v>-11.057470951815702</v>
      </c>
    </row>
    <row r="14" spans="1:28" ht="11.25" customHeight="1" x14ac:dyDescent="0.25">
      <c r="A14" s="97"/>
      <c r="B14" s="97"/>
      <c r="C14" s="97"/>
      <c r="D14" s="22" t="s">
        <v>32</v>
      </c>
      <c r="E14" s="22" t="s">
        <v>25</v>
      </c>
      <c r="F14" s="22" t="s">
        <v>25</v>
      </c>
      <c r="G14" s="23" t="s">
        <v>77</v>
      </c>
      <c r="H14" s="23" t="s">
        <v>70</v>
      </c>
      <c r="I14" s="23">
        <f>'MERCADO TE'!$U$11</f>
        <v>103.19500000000001</v>
      </c>
      <c r="J14" s="15"/>
      <c r="L14" s="20">
        <f>'TE BE'!$L$14*'TE BE'!$L$48</f>
        <v>0</v>
      </c>
      <c r="M14" s="20">
        <f>'TE BE'!$M$14*'TE BE'!$M$48</f>
        <v>0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0</v>
      </c>
      <c r="R14" s="20">
        <f>'TE BE'!$R$14*'TE BE'!$R$48</f>
        <v>-11.057470951815702</v>
      </c>
      <c r="S14" s="20">
        <f>SUM($R$14:$R$14)</f>
        <v>-11.057470951815702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0</v>
      </c>
      <c r="Y14" s="20">
        <f>SUM($X$14:$X$14)</f>
        <v>0</v>
      </c>
      <c r="Z14" s="20">
        <f>'TE BE'!$Z$14*'TE BE'!$Z$48</f>
        <v>0</v>
      </c>
      <c r="AA14" s="20">
        <f>SUM($Z$14:$Z$14)</f>
        <v>0</v>
      </c>
      <c r="AB14" s="20">
        <f>SUMIF($L$4:$AA$4,"SUBTOTAL",$L$14:$AA$14)</f>
        <v>-11.057470951815702</v>
      </c>
    </row>
    <row r="15" spans="1:28" ht="11.25" customHeight="1" x14ac:dyDescent="0.25">
      <c r="A15" s="97"/>
      <c r="B15" s="97" t="s">
        <v>86</v>
      </c>
      <c r="C15" s="97" t="s">
        <v>24</v>
      </c>
      <c r="D15" s="22" t="s">
        <v>24</v>
      </c>
      <c r="E15" s="22" t="s">
        <v>25</v>
      </c>
      <c r="F15" s="22" t="s">
        <v>25</v>
      </c>
      <c r="G15" s="23" t="s">
        <v>77</v>
      </c>
      <c r="H15" s="23" t="s">
        <v>70</v>
      </c>
      <c r="I15" s="23">
        <f>'MERCADO TE'!$U$12</f>
        <v>0</v>
      </c>
      <c r="J15" s="15"/>
      <c r="L15" s="20">
        <f>'TE BE'!$L$15*'TE BE'!$L$48</f>
        <v>0</v>
      </c>
      <c r="M15" s="20">
        <f>'TE BE'!$M$15*'TE BE'!$M$48</f>
        <v>0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0</v>
      </c>
      <c r="R15" s="20">
        <f>'TE BE'!$R$15*'TE BE'!$R$48</f>
        <v>-11.057470951815702</v>
      </c>
      <c r="S15" s="20">
        <f>SUM($R$15:$R$15)</f>
        <v>-11.057470951815702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0</v>
      </c>
      <c r="Y15" s="20">
        <f>SUM($X$15:$X$15)</f>
        <v>0</v>
      </c>
      <c r="Z15" s="20">
        <f>'TE BE'!$Z$15*'TE BE'!$Z$48</f>
        <v>0</v>
      </c>
      <c r="AA15" s="20">
        <f>SUM($Z$15:$Z$15)</f>
        <v>0</v>
      </c>
      <c r="AB15" s="20">
        <f>SUMIF($L$4:$AA$4,"SUBTOTAL",$L$15:$AA$15)</f>
        <v>-11.057470951815702</v>
      </c>
    </row>
    <row r="16" spans="1:28" ht="11.25" customHeight="1" x14ac:dyDescent="0.25">
      <c r="A16" s="97"/>
      <c r="B16" s="97"/>
      <c r="C16" s="97"/>
      <c r="D16" s="22" t="s">
        <v>29</v>
      </c>
      <c r="E16" s="22" t="s">
        <v>25</v>
      </c>
      <c r="F16" s="22" t="s">
        <v>25</v>
      </c>
      <c r="G16" s="23" t="s">
        <v>77</v>
      </c>
      <c r="H16" s="23" t="s">
        <v>70</v>
      </c>
      <c r="I16" s="23">
        <f>'MERCADO TE'!$U$13</f>
        <v>0</v>
      </c>
      <c r="J16" s="15"/>
      <c r="L16" s="20">
        <f>'TE BE'!$L$16*'TE BE'!$L$48</f>
        <v>0</v>
      </c>
      <c r="M16" s="20">
        <f>'TE BE'!$M$16*'TE BE'!$M$48</f>
        <v>0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0</v>
      </c>
      <c r="R16" s="20">
        <f>'TE BE'!$R$16*'TE BE'!$R$48</f>
        <v>-11.057470951815702</v>
      </c>
      <c r="S16" s="20">
        <f>SUM($R$16:$R$16)</f>
        <v>-11.057470951815702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0</v>
      </c>
      <c r="Y16" s="20">
        <f>SUM($X$16:$X$16)</f>
        <v>0</v>
      </c>
      <c r="Z16" s="20">
        <f>'TE BE'!$Z$16*'TE BE'!$Z$48</f>
        <v>0</v>
      </c>
      <c r="AA16" s="20">
        <f>SUM($Z$16:$Z$16)</f>
        <v>0</v>
      </c>
      <c r="AB16" s="20">
        <f>SUMIF($L$4:$AA$4,"SUBTOTAL",$L$16:$AA$16)</f>
        <v>-11.057470951815702</v>
      </c>
    </row>
    <row r="17" spans="1:28" ht="11.25" customHeight="1" x14ac:dyDescent="0.25">
      <c r="A17" s="97"/>
      <c r="B17" s="97"/>
      <c r="C17" s="97"/>
      <c r="D17" s="22" t="s">
        <v>30</v>
      </c>
      <c r="E17" s="22" t="s">
        <v>25</v>
      </c>
      <c r="F17" s="22" t="s">
        <v>25</v>
      </c>
      <c r="G17" s="23" t="s">
        <v>77</v>
      </c>
      <c r="H17" s="23" t="s">
        <v>70</v>
      </c>
      <c r="I17" s="23">
        <f>'MERCADO TE'!$U$14</f>
        <v>0</v>
      </c>
      <c r="J17" s="15"/>
      <c r="L17" s="20">
        <f>'TE BE'!$L$17*'TE BE'!$L$48</f>
        <v>0</v>
      </c>
      <c r="M17" s="20">
        <f>'TE BE'!$M$17*'TE BE'!$M$48</f>
        <v>0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0</v>
      </c>
      <c r="R17" s="20">
        <f>'TE BE'!$R$17*'TE BE'!$R$48</f>
        <v>-11.057470951815702</v>
      </c>
      <c r="S17" s="20">
        <f>SUM($R$17:$R$17)</f>
        <v>-11.057470951815702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0</v>
      </c>
      <c r="Y17" s="20">
        <f>SUM($X$17:$X$17)</f>
        <v>0</v>
      </c>
      <c r="Z17" s="20">
        <f>'TE BE'!$Z$17*'TE BE'!$Z$48</f>
        <v>0</v>
      </c>
      <c r="AA17" s="20">
        <f>SUM($Z$17:$Z$17)</f>
        <v>0</v>
      </c>
      <c r="AB17" s="20">
        <f>SUMIF($L$4:$AA$4,"SUBTOTAL",$L$17:$AA$17)</f>
        <v>-11.057470951815702</v>
      </c>
    </row>
    <row r="18" spans="1:28" ht="11.25" customHeight="1" x14ac:dyDescent="0.25">
      <c r="A18" s="97"/>
      <c r="B18" s="97"/>
      <c r="C18" s="97"/>
      <c r="D18" s="22" t="s">
        <v>31</v>
      </c>
      <c r="E18" s="22" t="s">
        <v>25</v>
      </c>
      <c r="F18" s="22" t="s">
        <v>25</v>
      </c>
      <c r="G18" s="23" t="s">
        <v>77</v>
      </c>
      <c r="H18" s="23" t="s">
        <v>70</v>
      </c>
      <c r="I18" s="23">
        <f>'MERCADO TE'!$U$15</f>
        <v>0</v>
      </c>
      <c r="J18" s="15"/>
      <c r="L18" s="20">
        <f>'TE BE'!$L$18*'TE BE'!$L$48</f>
        <v>0</v>
      </c>
      <c r="M18" s="20">
        <f>'TE BE'!$M$18*'TE BE'!$M$48</f>
        <v>0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0</v>
      </c>
      <c r="R18" s="20">
        <f>'TE BE'!$R$18*'TE BE'!$R$48</f>
        <v>-11.057470951815702</v>
      </c>
      <c r="S18" s="20">
        <f>SUM($R$18:$R$18)</f>
        <v>-11.057470951815702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0</v>
      </c>
      <c r="Y18" s="20">
        <f>SUM($X$18:$X$18)</f>
        <v>0</v>
      </c>
      <c r="Z18" s="20">
        <f>'TE BE'!$Z$18*'TE BE'!$Z$48</f>
        <v>0</v>
      </c>
      <c r="AA18" s="20">
        <f>SUM($Z$18:$Z$18)</f>
        <v>0</v>
      </c>
      <c r="AB18" s="20">
        <f>SUMIF($L$4:$AA$4,"SUBTOTAL",$L$18:$AA$18)</f>
        <v>-11.057470951815702</v>
      </c>
    </row>
    <row r="19" spans="1:28" ht="11.25" customHeight="1" x14ac:dyDescent="0.25">
      <c r="A19" s="97"/>
      <c r="B19" s="97"/>
      <c r="C19" s="97"/>
      <c r="D19" s="22" t="s">
        <v>32</v>
      </c>
      <c r="E19" s="22" t="s">
        <v>25</v>
      </c>
      <c r="F19" s="22" t="s">
        <v>25</v>
      </c>
      <c r="G19" s="23" t="s">
        <v>77</v>
      </c>
      <c r="H19" s="23" t="s">
        <v>70</v>
      </c>
      <c r="I19" s="23">
        <f>'MERCADO TE'!$U$16</f>
        <v>0</v>
      </c>
      <c r="J19" s="15"/>
      <c r="L19" s="20">
        <f>'TE BE'!$L$19*'TE BE'!$L$48</f>
        <v>0</v>
      </c>
      <c r="M19" s="20">
        <f>'TE BE'!$M$19*'TE BE'!$M$48</f>
        <v>0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0</v>
      </c>
      <c r="R19" s="20">
        <f>'TE BE'!$R$19*'TE BE'!$R$48</f>
        <v>-11.057470951815702</v>
      </c>
      <c r="S19" s="20">
        <f>SUM($R$19:$R$19)</f>
        <v>-11.057470951815702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0</v>
      </c>
      <c r="Y19" s="20">
        <f>SUM($X$19:$X$19)</f>
        <v>0</v>
      </c>
      <c r="Z19" s="20">
        <f>'TE BE'!$Z$19*'TE BE'!$Z$48</f>
        <v>0</v>
      </c>
      <c r="AA19" s="20">
        <f>SUM($Z$19:$Z$19)</f>
        <v>0</v>
      </c>
      <c r="AB19" s="20">
        <f>SUMIF($L$4:$AA$4,"SUBTOTAL",$L$19:$AA$19)</f>
        <v>-11.057470951815702</v>
      </c>
    </row>
    <row r="20" spans="1:28" ht="11.25" customHeight="1" x14ac:dyDescent="0.25">
      <c r="A20" s="97" t="s">
        <v>40</v>
      </c>
      <c r="B20" s="97" t="s">
        <v>69</v>
      </c>
      <c r="C20" s="97" t="s">
        <v>41</v>
      </c>
      <c r="D20" s="97" t="s">
        <v>25</v>
      </c>
      <c r="E20" s="97" t="s">
        <v>25</v>
      </c>
      <c r="F20" s="97" t="s">
        <v>25</v>
      </c>
      <c r="G20" s="23" t="s">
        <v>71</v>
      </c>
      <c r="H20" s="23" t="s">
        <v>70</v>
      </c>
      <c r="I20" s="23">
        <f>'MERCADO TE'!$U$17</f>
        <v>0</v>
      </c>
      <c r="J20" s="15"/>
      <c r="L20" s="20">
        <f>'TE BE'!$L$20*'TE BE'!$L$48</f>
        <v>0</v>
      </c>
      <c r="M20" s="20">
        <f>'TE BE'!$M$20*'TE BE'!$M$48</f>
        <v>0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0</v>
      </c>
      <c r="R20" s="20">
        <f>'TE BE'!$R$20*'TE BE'!$R$48</f>
        <v>-11.057470951815702</v>
      </c>
      <c r="S20" s="20">
        <f>SUM($R$20:$R$20)</f>
        <v>-11.057470951815702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0</v>
      </c>
      <c r="Y20" s="20">
        <f>SUM($X$20:$X$20)</f>
        <v>0</v>
      </c>
      <c r="Z20" s="20">
        <f>'TE BE'!$Z$20*'TE BE'!$Z$48</f>
        <v>0</v>
      </c>
      <c r="AA20" s="20">
        <f>SUM($Z$20:$Z$20)</f>
        <v>0</v>
      </c>
      <c r="AB20" s="20">
        <f>SUMIF($L$4:$AA$4,"SUBTOTAL",$L$20:$AA$20)</f>
        <v>-11.057470951815702</v>
      </c>
    </row>
    <row r="21" spans="1:28" ht="11.25" customHeight="1" x14ac:dyDescent="0.25">
      <c r="A21" s="97"/>
      <c r="B21" s="97"/>
      <c r="C21" s="97"/>
      <c r="D21" s="97"/>
      <c r="E21" s="97"/>
      <c r="F21" s="97"/>
      <c r="G21" s="23" t="s">
        <v>83</v>
      </c>
      <c r="H21" s="23" t="s">
        <v>70</v>
      </c>
      <c r="I21" s="23">
        <f>'MERCADO TE'!$U$18</f>
        <v>0</v>
      </c>
      <c r="J21" s="15"/>
      <c r="L21" s="20">
        <f>'TE BE'!$L$21*'TE BE'!$L$48</f>
        <v>0</v>
      </c>
      <c r="M21" s="20">
        <f>'TE BE'!$M$21*'TE BE'!$M$48</f>
        <v>0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0</v>
      </c>
      <c r="R21" s="20">
        <f>'TE BE'!$R$21*'TE BE'!$R$48</f>
        <v>-11.057470951815702</v>
      </c>
      <c r="S21" s="20">
        <f>SUM($R$21:$R$21)</f>
        <v>-11.057470951815702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0</v>
      </c>
      <c r="Y21" s="20">
        <f>SUM($X$21:$X$21)</f>
        <v>0</v>
      </c>
      <c r="Z21" s="20">
        <f>'TE BE'!$Z$21*'TE BE'!$Z$48</f>
        <v>0</v>
      </c>
      <c r="AA21" s="20">
        <f>SUM($Z$21:$Z$21)</f>
        <v>0</v>
      </c>
      <c r="AB21" s="20">
        <f>SUMIF($L$4:$AA$4,"SUBTOTAL",$L$21:$AA$21)</f>
        <v>-11.057470951815702</v>
      </c>
    </row>
    <row r="22" spans="1:28" ht="11.25" customHeight="1" x14ac:dyDescent="0.25">
      <c r="A22" s="97"/>
      <c r="B22" s="97"/>
      <c r="C22" s="97"/>
      <c r="D22" s="97"/>
      <c r="E22" s="97"/>
      <c r="F22" s="97"/>
      <c r="G22" s="23" t="s">
        <v>72</v>
      </c>
      <c r="H22" s="23" t="s">
        <v>70</v>
      </c>
      <c r="I22" s="23">
        <f>'MERCADO TE'!$U$19</f>
        <v>0</v>
      </c>
      <c r="J22" s="15"/>
      <c r="L22" s="20">
        <f>'TE BE'!$L$22*'TE BE'!$L$48</f>
        <v>0</v>
      </c>
      <c r="M22" s="20">
        <f>'TE BE'!$M$22*'TE BE'!$M$48</f>
        <v>0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0</v>
      </c>
      <c r="R22" s="20">
        <f>'TE BE'!$R$22*'TE BE'!$R$48</f>
        <v>-11.057470951815702</v>
      </c>
      <c r="S22" s="20">
        <f>SUM($R$22:$R$22)</f>
        <v>-11.057470951815702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0</v>
      </c>
      <c r="Y22" s="20">
        <f>SUM($X$22:$X$22)</f>
        <v>0</v>
      </c>
      <c r="Z22" s="20">
        <f>'TE BE'!$Z$22*'TE BE'!$Z$48</f>
        <v>0</v>
      </c>
      <c r="AA22" s="20">
        <f>SUM($Z$22:$Z$22)</f>
        <v>0</v>
      </c>
      <c r="AB22" s="20">
        <f>SUMIF($L$4:$AA$4,"SUBTOTAL",$L$22:$AA$22)</f>
        <v>-11.057470951815702</v>
      </c>
    </row>
    <row r="23" spans="1:28" ht="11.25" customHeight="1" x14ac:dyDescent="0.25">
      <c r="A23" s="97"/>
      <c r="B23" s="22" t="s">
        <v>84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77</v>
      </c>
      <c r="H23" s="23" t="s">
        <v>70</v>
      </c>
      <c r="I23" s="23">
        <f>'MERCADO TE'!$U$20</f>
        <v>3283.42</v>
      </c>
      <c r="J23" s="15"/>
      <c r="L23" s="20">
        <f>'TE BE'!$L$23*'TE BE'!$L$48</f>
        <v>0</v>
      </c>
      <c r="M23" s="20">
        <f>'TE BE'!$M$23*'TE BE'!$M$48</f>
        <v>0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0</v>
      </c>
      <c r="R23" s="20">
        <f>'TE BE'!$R$23*'TE BE'!$R$48</f>
        <v>-11.057470951815702</v>
      </c>
      <c r="S23" s="20">
        <f>SUM($R$23:$R$23)</f>
        <v>-11.057470951815702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0</v>
      </c>
      <c r="Y23" s="20">
        <f>SUM($X$23:$X$23)</f>
        <v>0</v>
      </c>
      <c r="Z23" s="20">
        <f>'TE BE'!$Z$23*'TE BE'!$Z$48</f>
        <v>0</v>
      </c>
      <c r="AA23" s="20">
        <f>SUM($Z$23:$Z$23)</f>
        <v>0</v>
      </c>
      <c r="AB23" s="20">
        <f>SUMIF($L$4:$AA$4,"SUBTOTAL",$L$23:$AA$23)</f>
        <v>-11.057470951815702</v>
      </c>
    </row>
    <row r="24" spans="1:28" ht="11.25" customHeight="1" x14ac:dyDescent="0.25">
      <c r="A24" s="97"/>
      <c r="B24" s="97" t="s">
        <v>69</v>
      </c>
      <c r="C24" s="97" t="s">
        <v>41</v>
      </c>
      <c r="D24" s="97" t="s">
        <v>88</v>
      </c>
      <c r="E24" s="97" t="s">
        <v>25</v>
      </c>
      <c r="F24" s="97" t="s">
        <v>25</v>
      </c>
      <c r="G24" s="23" t="s">
        <v>71</v>
      </c>
      <c r="H24" s="23" t="s">
        <v>70</v>
      </c>
      <c r="I24" s="23">
        <f>'MERCADO TE'!$U$21</f>
        <v>0</v>
      </c>
      <c r="J24" s="15"/>
      <c r="L24" s="20">
        <f>'TE BE'!$L$24*'TE BE'!$L$48</f>
        <v>0</v>
      </c>
      <c r="M24" s="20">
        <f>'TE BE'!$M$24*'TE BE'!$M$48</f>
        <v>0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0</v>
      </c>
      <c r="R24" s="20">
        <f>'TE BE'!$R$24*'TE BE'!$R$48</f>
        <v>-11.057470951815702</v>
      </c>
      <c r="S24" s="20">
        <f>SUM($R$24:$R$24)</f>
        <v>-11.057470951815702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0</v>
      </c>
      <c r="Y24" s="20">
        <f>SUM($X$24:$X$24)</f>
        <v>0</v>
      </c>
      <c r="Z24" s="20">
        <f>'TE BE'!$Z$24*'TE BE'!$Z$48</f>
        <v>0</v>
      </c>
      <c r="AA24" s="20">
        <f>SUM($Z$24:$Z$24)</f>
        <v>0</v>
      </c>
      <c r="AB24" s="20">
        <f>SUMIF($L$4:$AA$4,"SUBTOTAL",$L$24:$AA$24)</f>
        <v>-11.057470951815702</v>
      </c>
    </row>
    <row r="25" spans="1:28" ht="11.25" customHeight="1" x14ac:dyDescent="0.25">
      <c r="A25" s="97"/>
      <c r="B25" s="97"/>
      <c r="C25" s="97"/>
      <c r="D25" s="97"/>
      <c r="E25" s="97"/>
      <c r="F25" s="97"/>
      <c r="G25" s="23" t="s">
        <v>83</v>
      </c>
      <c r="H25" s="23" t="s">
        <v>70</v>
      </c>
      <c r="I25" s="23">
        <f>'MERCADO TE'!$U$22</f>
        <v>0</v>
      </c>
      <c r="J25" s="15"/>
      <c r="L25" s="20">
        <f>'TE BE'!$L$25*'TE BE'!$L$48</f>
        <v>0</v>
      </c>
      <c r="M25" s="20">
        <f>'TE BE'!$M$25*'TE BE'!$M$48</f>
        <v>0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0</v>
      </c>
      <c r="R25" s="20">
        <f>'TE BE'!$R$25*'TE BE'!$R$48</f>
        <v>-11.057470951815702</v>
      </c>
      <c r="S25" s="20">
        <f>SUM($R$25:$R$25)</f>
        <v>-11.057470951815702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0</v>
      </c>
      <c r="Y25" s="20">
        <f>SUM($X$25:$X$25)</f>
        <v>0</v>
      </c>
      <c r="Z25" s="20">
        <f>'TE BE'!$Z$25*'TE BE'!$Z$48</f>
        <v>0</v>
      </c>
      <c r="AA25" s="20">
        <f>SUM($Z$25:$Z$25)</f>
        <v>0</v>
      </c>
      <c r="AB25" s="20">
        <f>SUMIF($L$4:$AA$4,"SUBTOTAL",$L$25:$AA$25)</f>
        <v>-11.057470951815702</v>
      </c>
    </row>
    <row r="26" spans="1:28" ht="11.25" customHeight="1" x14ac:dyDescent="0.25">
      <c r="A26" s="97"/>
      <c r="B26" s="97"/>
      <c r="C26" s="97"/>
      <c r="D26" s="97"/>
      <c r="E26" s="97"/>
      <c r="F26" s="97"/>
      <c r="G26" s="23" t="s">
        <v>72</v>
      </c>
      <c r="H26" s="23" t="s">
        <v>70</v>
      </c>
      <c r="I26" s="23">
        <f>'MERCADO TE'!$U$23</f>
        <v>0</v>
      </c>
      <c r="J26" s="15"/>
      <c r="L26" s="20">
        <f>'TE BE'!$L$26*'TE BE'!$L$48</f>
        <v>0</v>
      </c>
      <c r="M26" s="20">
        <f>'TE BE'!$M$26*'TE BE'!$M$48</f>
        <v>0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0</v>
      </c>
      <c r="R26" s="20">
        <f>'TE BE'!$R$26*'TE BE'!$R$48</f>
        <v>-11.057470951815702</v>
      </c>
      <c r="S26" s="20">
        <f>SUM($R$26:$R$26)</f>
        <v>-11.057470951815702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0</v>
      </c>
      <c r="Y26" s="20">
        <f>SUM($X$26:$X$26)</f>
        <v>0</v>
      </c>
      <c r="Z26" s="20">
        <f>'TE BE'!$Z$26*'TE BE'!$Z$48</f>
        <v>0</v>
      </c>
      <c r="AA26" s="20">
        <f>SUM($Z$26:$Z$26)</f>
        <v>0</v>
      </c>
      <c r="AB26" s="20">
        <f>SUMIF($L$4:$AA$4,"SUBTOTAL",$L$26:$AA$26)</f>
        <v>-11.057470951815702</v>
      </c>
    </row>
    <row r="27" spans="1:28" ht="11.25" customHeight="1" x14ac:dyDescent="0.25">
      <c r="A27" s="97"/>
      <c r="B27" s="22" t="s">
        <v>84</v>
      </c>
      <c r="C27" s="22" t="s">
        <v>41</v>
      </c>
      <c r="D27" s="22" t="s">
        <v>88</v>
      </c>
      <c r="E27" s="22" t="s">
        <v>25</v>
      </c>
      <c r="F27" s="22" t="s">
        <v>25</v>
      </c>
      <c r="G27" s="23" t="s">
        <v>77</v>
      </c>
      <c r="H27" s="23" t="s">
        <v>70</v>
      </c>
      <c r="I27" s="23">
        <f>'MERCADO TE'!$U$24</f>
        <v>0</v>
      </c>
      <c r="J27" s="15"/>
      <c r="L27" s="20">
        <f>'TE BE'!$L$27*'TE BE'!$L$48</f>
        <v>0</v>
      </c>
      <c r="M27" s="20">
        <f>'TE BE'!$M$27*'TE BE'!$M$48</f>
        <v>0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0</v>
      </c>
      <c r="R27" s="20">
        <f>'TE BE'!$R$27*'TE BE'!$R$48</f>
        <v>-11.057470951815702</v>
      </c>
      <c r="S27" s="20">
        <f>SUM($R$27:$R$27)</f>
        <v>-11.057470951815702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0</v>
      </c>
      <c r="Y27" s="20">
        <f>SUM($X$27:$X$27)</f>
        <v>0</v>
      </c>
      <c r="Z27" s="20">
        <f>'TE BE'!$Z$27*'TE BE'!$Z$48</f>
        <v>0</v>
      </c>
      <c r="AA27" s="20">
        <f>SUM($Z$27:$Z$27)</f>
        <v>0</v>
      </c>
      <c r="AB27" s="20">
        <f>SUMIF($L$4:$AA$4,"SUBTOTAL",$L$27:$AA$27)</f>
        <v>-11.057470951815702</v>
      </c>
    </row>
    <row r="28" spans="1:28" ht="11.25" customHeight="1" x14ac:dyDescent="0.25">
      <c r="A28" s="97"/>
      <c r="B28" s="97" t="s">
        <v>69</v>
      </c>
      <c r="C28" s="97" t="s">
        <v>41</v>
      </c>
      <c r="D28" s="97" t="s">
        <v>89</v>
      </c>
      <c r="E28" s="97" t="s">
        <v>25</v>
      </c>
      <c r="F28" s="97" t="s">
        <v>25</v>
      </c>
      <c r="G28" s="23" t="s">
        <v>71</v>
      </c>
      <c r="H28" s="23" t="s">
        <v>70</v>
      </c>
      <c r="I28" s="23">
        <f>'MERCADO TE'!$U$25</f>
        <v>0</v>
      </c>
      <c r="J28" s="15"/>
      <c r="L28" s="20">
        <f>'TE BE'!$L$28*'TE BE'!$L$48</f>
        <v>0</v>
      </c>
      <c r="M28" s="20">
        <f>'TE BE'!$M$28*'TE BE'!$M$48</f>
        <v>0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0</v>
      </c>
      <c r="R28" s="20">
        <f>'TE BE'!$R$28*'TE BE'!$R$48</f>
        <v>-11.057470951815702</v>
      </c>
      <c r="S28" s="20">
        <f>SUM($R$28:$R$28)</f>
        <v>-11.057470951815702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0</v>
      </c>
      <c r="Y28" s="20">
        <f>SUM($X$28:$X$28)</f>
        <v>0</v>
      </c>
      <c r="Z28" s="20">
        <f>'TE BE'!$Z$28*'TE BE'!$Z$48</f>
        <v>0</v>
      </c>
      <c r="AA28" s="20">
        <f>SUM($Z$28:$Z$28)</f>
        <v>0</v>
      </c>
      <c r="AB28" s="20">
        <f>SUMIF($L$4:$AA$4,"SUBTOTAL",$L$28:$AA$28)</f>
        <v>-11.057470951815702</v>
      </c>
    </row>
    <row r="29" spans="1:28" ht="11.25" customHeight="1" x14ac:dyDescent="0.25">
      <c r="A29" s="97"/>
      <c r="B29" s="97"/>
      <c r="C29" s="97"/>
      <c r="D29" s="97"/>
      <c r="E29" s="97"/>
      <c r="F29" s="97"/>
      <c r="G29" s="23" t="s">
        <v>83</v>
      </c>
      <c r="H29" s="23" t="s">
        <v>70</v>
      </c>
      <c r="I29" s="23">
        <f>'MERCADO TE'!$U$26</f>
        <v>0</v>
      </c>
      <c r="J29" s="15"/>
      <c r="L29" s="20">
        <f>'TE BE'!$L$29*'TE BE'!$L$48</f>
        <v>0</v>
      </c>
      <c r="M29" s="20">
        <f>'TE BE'!$M$29*'TE BE'!$M$48</f>
        <v>0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0</v>
      </c>
      <c r="R29" s="20">
        <f>'TE BE'!$R$29*'TE BE'!$R$48</f>
        <v>-11.057470951815702</v>
      </c>
      <c r="S29" s="20">
        <f>SUM($R$29:$R$29)</f>
        <v>-11.057470951815702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0</v>
      </c>
      <c r="Y29" s="20">
        <f>SUM($X$29:$X$29)</f>
        <v>0</v>
      </c>
      <c r="Z29" s="20">
        <f>'TE BE'!$Z$29*'TE BE'!$Z$48</f>
        <v>0</v>
      </c>
      <c r="AA29" s="20">
        <f>SUM($Z$29:$Z$29)</f>
        <v>0</v>
      </c>
      <c r="AB29" s="20">
        <f>SUMIF($L$4:$AA$4,"SUBTOTAL",$L$29:$AA$29)</f>
        <v>-11.057470951815702</v>
      </c>
    </row>
    <row r="30" spans="1:28" ht="11.25" customHeight="1" x14ac:dyDescent="0.25">
      <c r="A30" s="97"/>
      <c r="B30" s="97"/>
      <c r="C30" s="97"/>
      <c r="D30" s="97"/>
      <c r="E30" s="97"/>
      <c r="F30" s="97"/>
      <c r="G30" s="23" t="s">
        <v>72</v>
      </c>
      <c r="H30" s="23" t="s">
        <v>70</v>
      </c>
      <c r="I30" s="23">
        <f>'MERCADO TE'!$U$27</f>
        <v>0</v>
      </c>
      <c r="J30" s="15"/>
      <c r="L30" s="20">
        <f>'TE BE'!$L$30*'TE BE'!$L$48</f>
        <v>0</v>
      </c>
      <c r="M30" s="20">
        <f>'TE BE'!$M$30*'TE BE'!$M$48</f>
        <v>0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0</v>
      </c>
      <c r="R30" s="20">
        <f>'TE BE'!$R$30*'TE BE'!$R$48</f>
        <v>-11.057470951815702</v>
      </c>
      <c r="S30" s="20">
        <f>SUM($R$30:$R$30)</f>
        <v>-11.057470951815702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0</v>
      </c>
      <c r="Y30" s="20">
        <f>SUM($X$30:$X$30)</f>
        <v>0</v>
      </c>
      <c r="Z30" s="20">
        <f>'TE BE'!$Z$30*'TE BE'!$Z$48</f>
        <v>0</v>
      </c>
      <c r="AA30" s="20">
        <f>SUM($Z$30:$Z$30)</f>
        <v>0</v>
      </c>
      <c r="AB30" s="20">
        <f>SUMIF($L$4:$AA$4,"SUBTOTAL",$L$30:$AA$30)</f>
        <v>-11.057470951815702</v>
      </c>
    </row>
    <row r="31" spans="1:28" ht="11.25" customHeight="1" x14ac:dyDescent="0.25">
      <c r="A31" s="97"/>
      <c r="B31" s="22" t="s">
        <v>84</v>
      </c>
      <c r="C31" s="22" t="s">
        <v>41</v>
      </c>
      <c r="D31" s="22" t="s">
        <v>89</v>
      </c>
      <c r="E31" s="22" t="s">
        <v>25</v>
      </c>
      <c r="F31" s="22" t="s">
        <v>25</v>
      </c>
      <c r="G31" s="23" t="s">
        <v>77</v>
      </c>
      <c r="H31" s="23" t="s">
        <v>70</v>
      </c>
      <c r="I31" s="23">
        <f>'MERCADO TE'!$U$28</f>
        <v>0</v>
      </c>
      <c r="J31" s="15"/>
      <c r="L31" s="20">
        <f>'TE BE'!$L$31*'TE BE'!$L$48</f>
        <v>0</v>
      </c>
      <c r="M31" s="20">
        <f>'TE BE'!$M$31*'TE BE'!$M$48</f>
        <v>0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0</v>
      </c>
      <c r="R31" s="20">
        <f>'TE BE'!$R$31*'TE BE'!$R$48</f>
        <v>-11.057470951815702</v>
      </c>
      <c r="S31" s="20">
        <f>SUM($R$31:$R$31)</f>
        <v>-11.057470951815702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0</v>
      </c>
      <c r="Y31" s="20">
        <f>SUM($X$31:$X$31)</f>
        <v>0</v>
      </c>
      <c r="Z31" s="20">
        <f>'TE BE'!$Z$31*'TE BE'!$Z$48</f>
        <v>0</v>
      </c>
      <c r="AA31" s="20">
        <f>SUM($Z$31:$Z$31)</f>
        <v>0</v>
      </c>
      <c r="AB31" s="20">
        <f>SUMIF($L$4:$AA$4,"SUBTOTAL",$L$31:$AA$31)</f>
        <v>-11.057470951815702</v>
      </c>
    </row>
    <row r="32" spans="1:28" ht="11.25" customHeight="1" x14ac:dyDescent="0.25">
      <c r="A32" s="97"/>
      <c r="B32" s="97" t="s">
        <v>86</v>
      </c>
      <c r="C32" s="97" t="s">
        <v>41</v>
      </c>
      <c r="D32" s="22" t="s">
        <v>25</v>
      </c>
      <c r="E32" s="22" t="s">
        <v>25</v>
      </c>
      <c r="F32" s="22" t="s">
        <v>25</v>
      </c>
      <c r="G32" s="23" t="s">
        <v>77</v>
      </c>
      <c r="H32" s="23" t="s">
        <v>70</v>
      </c>
      <c r="I32" s="23">
        <f>'MERCADO TE'!$U$29</f>
        <v>0</v>
      </c>
      <c r="J32" s="15"/>
      <c r="L32" s="20">
        <f>'TE BE'!$L$32*'TE BE'!$L$48</f>
        <v>0</v>
      </c>
      <c r="M32" s="20">
        <f>'TE BE'!$M$32*'TE BE'!$M$48</f>
        <v>0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0</v>
      </c>
      <c r="R32" s="20">
        <f>'TE BE'!$R$32*'TE BE'!$R$48</f>
        <v>-11.057470951815702</v>
      </c>
      <c r="S32" s="20">
        <f>SUM($R$32:$R$32)</f>
        <v>-11.057470951815702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0</v>
      </c>
      <c r="Y32" s="20">
        <f>SUM($X$32:$X$32)</f>
        <v>0</v>
      </c>
      <c r="Z32" s="20">
        <f>'TE BE'!$Z$32*'TE BE'!$Z$48</f>
        <v>0</v>
      </c>
      <c r="AA32" s="20">
        <f>SUM($Z$32:$Z$32)</f>
        <v>0</v>
      </c>
      <c r="AB32" s="20">
        <f>SUMIF($L$4:$AA$4,"SUBTOTAL",$L$32:$AA$32)</f>
        <v>-11.057470951815702</v>
      </c>
    </row>
    <row r="33" spans="1:28" ht="11.25" customHeight="1" x14ac:dyDescent="0.25">
      <c r="A33" s="97"/>
      <c r="B33" s="97"/>
      <c r="C33" s="97"/>
      <c r="D33" s="22" t="s">
        <v>88</v>
      </c>
      <c r="E33" s="22" t="s">
        <v>25</v>
      </c>
      <c r="F33" s="22" t="s">
        <v>25</v>
      </c>
      <c r="G33" s="23" t="s">
        <v>77</v>
      </c>
      <c r="H33" s="23" t="s">
        <v>70</v>
      </c>
      <c r="I33" s="23">
        <f>'MERCADO TE'!$U$30</f>
        <v>0</v>
      </c>
      <c r="J33" s="15"/>
      <c r="L33" s="20">
        <f>'TE BE'!$L$33*'TE BE'!$L$48</f>
        <v>0</v>
      </c>
      <c r="M33" s="20">
        <f>'TE BE'!$M$33*'TE BE'!$M$48</f>
        <v>0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0</v>
      </c>
      <c r="R33" s="20">
        <f>'TE BE'!$R$33*'TE BE'!$R$48</f>
        <v>-11.057470951815702</v>
      </c>
      <c r="S33" s="20">
        <f>SUM($R$33:$R$33)</f>
        <v>-11.057470951815702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0</v>
      </c>
      <c r="Y33" s="20">
        <f>SUM($X$33:$X$33)</f>
        <v>0</v>
      </c>
      <c r="Z33" s="20">
        <f>'TE BE'!$Z$33*'TE BE'!$Z$48</f>
        <v>0</v>
      </c>
      <c r="AA33" s="20">
        <f>SUM($Z$33:$Z$33)</f>
        <v>0</v>
      </c>
      <c r="AB33" s="20">
        <f>SUMIF($L$4:$AA$4,"SUBTOTAL",$L$33:$AA$33)</f>
        <v>-11.057470951815702</v>
      </c>
    </row>
    <row r="34" spans="1:28" ht="11.25" customHeight="1" x14ac:dyDescent="0.25">
      <c r="A34" s="97"/>
      <c r="B34" s="97"/>
      <c r="C34" s="97"/>
      <c r="D34" s="22" t="s">
        <v>89</v>
      </c>
      <c r="E34" s="22" t="s">
        <v>25</v>
      </c>
      <c r="F34" s="22" t="s">
        <v>25</v>
      </c>
      <c r="G34" s="23" t="s">
        <v>77</v>
      </c>
      <c r="H34" s="23" t="s">
        <v>70</v>
      </c>
      <c r="I34" s="23">
        <f>'MERCADO TE'!$U$31</f>
        <v>0</v>
      </c>
      <c r="J34" s="15"/>
      <c r="L34" s="20">
        <f>'TE BE'!$L$34*'TE BE'!$L$48</f>
        <v>0</v>
      </c>
      <c r="M34" s="20">
        <f>'TE BE'!$M$34*'TE BE'!$M$48</f>
        <v>0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0</v>
      </c>
      <c r="R34" s="20">
        <f>'TE BE'!$R$34*'TE BE'!$R$48</f>
        <v>-11.057470951815702</v>
      </c>
      <c r="S34" s="20">
        <f>SUM($R$34:$R$34)</f>
        <v>-11.057470951815702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0</v>
      </c>
      <c r="Y34" s="20">
        <f>SUM($X$34:$X$34)</f>
        <v>0</v>
      </c>
      <c r="Z34" s="20">
        <f>'TE BE'!$Z$34*'TE BE'!$Z$48</f>
        <v>0</v>
      </c>
      <c r="AA34" s="20">
        <f>SUM($Z$34:$Z$34)</f>
        <v>0</v>
      </c>
      <c r="AB34" s="20">
        <f>SUMIF($L$4:$AA$4,"SUBTOTAL",$L$34:$AA$34)</f>
        <v>-11.057470951815702</v>
      </c>
    </row>
    <row r="35" spans="1:28" ht="11.25" customHeight="1" x14ac:dyDescent="0.25">
      <c r="A35" s="97" t="s">
        <v>33</v>
      </c>
      <c r="B35" s="97" t="s">
        <v>69</v>
      </c>
      <c r="C35" s="97" t="s">
        <v>25</v>
      </c>
      <c r="D35" s="97" t="s">
        <v>25</v>
      </c>
      <c r="E35" s="97" t="s">
        <v>25</v>
      </c>
      <c r="F35" s="97" t="s">
        <v>25</v>
      </c>
      <c r="G35" s="23" t="s">
        <v>71</v>
      </c>
      <c r="H35" s="23" t="s">
        <v>70</v>
      </c>
      <c r="I35" s="23">
        <f>'MERCADO TE'!$U$32</f>
        <v>0</v>
      </c>
      <c r="J35" s="15"/>
      <c r="L35" s="20">
        <f>'TE BE'!$L$35*'TE BE'!$L$48</f>
        <v>0</v>
      </c>
      <c r="M35" s="20">
        <f>'TE BE'!$M$35*'TE BE'!$M$48</f>
        <v>0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0</v>
      </c>
      <c r="R35" s="20">
        <f>'TE BE'!$R$35*'TE BE'!$R$48</f>
        <v>-11.057470951815702</v>
      </c>
      <c r="S35" s="20">
        <f>SUM($R$35:$R$35)</f>
        <v>-11.057470951815702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0</v>
      </c>
      <c r="Y35" s="20">
        <f>SUM($X$35:$X$35)</f>
        <v>0</v>
      </c>
      <c r="Z35" s="20">
        <f>'TE BE'!$Z$35*'TE BE'!$Z$48</f>
        <v>0</v>
      </c>
      <c r="AA35" s="20">
        <f>SUM($Z$35:$Z$35)</f>
        <v>0</v>
      </c>
      <c r="AB35" s="20">
        <f>SUMIF($L$4:$AA$4,"SUBTOTAL",$L$35:$AA$35)</f>
        <v>-11.057470951815702</v>
      </c>
    </row>
    <row r="36" spans="1:28" ht="11.25" customHeight="1" x14ac:dyDescent="0.25">
      <c r="A36" s="97"/>
      <c r="B36" s="97"/>
      <c r="C36" s="97"/>
      <c r="D36" s="97"/>
      <c r="E36" s="97"/>
      <c r="F36" s="97"/>
      <c r="G36" s="23" t="s">
        <v>83</v>
      </c>
      <c r="H36" s="23" t="s">
        <v>70</v>
      </c>
      <c r="I36" s="23">
        <f>'MERCADO TE'!$U$33</f>
        <v>0</v>
      </c>
      <c r="J36" s="15"/>
      <c r="L36" s="20">
        <f>'TE BE'!$L$36*'TE BE'!$L$48</f>
        <v>0</v>
      </c>
      <c r="M36" s="20">
        <f>'TE BE'!$M$36*'TE BE'!$M$48</f>
        <v>0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0</v>
      </c>
      <c r="R36" s="20">
        <f>'TE BE'!$R$36*'TE BE'!$R$48</f>
        <v>-11.057470951815702</v>
      </c>
      <c r="S36" s="20">
        <f>SUM($R$36:$R$36)</f>
        <v>-11.057470951815702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0</v>
      </c>
      <c r="Y36" s="20">
        <f>SUM($X$36:$X$36)</f>
        <v>0</v>
      </c>
      <c r="Z36" s="20">
        <f>'TE BE'!$Z$36*'TE BE'!$Z$48</f>
        <v>0</v>
      </c>
      <c r="AA36" s="20">
        <f>SUM($Z$36:$Z$36)</f>
        <v>0</v>
      </c>
      <c r="AB36" s="20">
        <f>SUMIF($L$4:$AA$4,"SUBTOTAL",$L$36:$AA$36)</f>
        <v>-11.057470951815702</v>
      </c>
    </row>
    <row r="37" spans="1:28" ht="11.25" customHeight="1" x14ac:dyDescent="0.25">
      <c r="A37" s="97"/>
      <c r="B37" s="97"/>
      <c r="C37" s="97"/>
      <c r="D37" s="97"/>
      <c r="E37" s="97"/>
      <c r="F37" s="97"/>
      <c r="G37" s="23" t="s">
        <v>72</v>
      </c>
      <c r="H37" s="23" t="s">
        <v>70</v>
      </c>
      <c r="I37" s="23">
        <f>'MERCADO TE'!$U$34</f>
        <v>0</v>
      </c>
      <c r="J37" s="15"/>
      <c r="L37" s="20">
        <f>'TE BE'!$L$37*'TE BE'!$L$48</f>
        <v>0</v>
      </c>
      <c r="M37" s="20">
        <f>'TE BE'!$M$37*'TE BE'!$M$48</f>
        <v>0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0</v>
      </c>
      <c r="R37" s="20">
        <f>'TE BE'!$R$37*'TE BE'!$R$48</f>
        <v>-11.057470951815702</v>
      </c>
      <c r="S37" s="20">
        <f>SUM($R$37:$R$37)</f>
        <v>-11.057470951815702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0</v>
      </c>
      <c r="Y37" s="20">
        <f>SUM($X$37:$X$37)</f>
        <v>0</v>
      </c>
      <c r="Z37" s="20">
        <f>'TE BE'!$Z$37*'TE BE'!$Z$48</f>
        <v>0</v>
      </c>
      <c r="AA37" s="20">
        <f>SUM($Z$37:$Z$37)</f>
        <v>0</v>
      </c>
      <c r="AB37" s="20">
        <f>SUMIF($L$4:$AA$4,"SUBTOTAL",$L$37:$AA$37)</f>
        <v>-11.057470951815702</v>
      </c>
    </row>
    <row r="38" spans="1:28" ht="11.25" customHeight="1" x14ac:dyDescent="0.25">
      <c r="A38" s="97"/>
      <c r="B38" s="22" t="s">
        <v>84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77</v>
      </c>
      <c r="H38" s="23" t="s">
        <v>70</v>
      </c>
      <c r="I38" s="23">
        <f>'MERCADO TE'!$U$35</f>
        <v>4711.0929999999998</v>
      </c>
      <c r="J38" s="15"/>
      <c r="L38" s="20">
        <f>'TE BE'!$L$38*'TE BE'!$L$48</f>
        <v>0</v>
      </c>
      <c r="M38" s="20">
        <f>'TE BE'!$M$38*'TE BE'!$M$48</f>
        <v>0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0</v>
      </c>
      <c r="R38" s="20">
        <f>'TE BE'!$R$38*'TE BE'!$R$48</f>
        <v>-11.057470951815702</v>
      </c>
      <c r="S38" s="20">
        <f>SUM($R$38:$R$38)</f>
        <v>-11.057470951815702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0</v>
      </c>
      <c r="Y38" s="20">
        <f>SUM($X$38:$X$38)</f>
        <v>0</v>
      </c>
      <c r="Z38" s="20">
        <f>'TE BE'!$Z$38*'TE BE'!$Z$48</f>
        <v>0</v>
      </c>
      <c r="AA38" s="20">
        <f>SUM($Z$38:$Z$38)</f>
        <v>0</v>
      </c>
      <c r="AB38" s="20">
        <f>SUMIF($L$4:$AA$4,"SUBTOTAL",$L$38:$AA$38)</f>
        <v>-11.057470951815702</v>
      </c>
    </row>
    <row r="39" spans="1:28" ht="11.25" customHeight="1" x14ac:dyDescent="0.25">
      <c r="A39" s="97"/>
      <c r="B39" s="22" t="s">
        <v>86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77</v>
      </c>
      <c r="H39" s="23" t="s">
        <v>70</v>
      </c>
      <c r="I39" s="23">
        <f>'MERCADO TE'!$U$36</f>
        <v>0</v>
      </c>
      <c r="J39" s="15"/>
      <c r="L39" s="20">
        <f>'TE BE'!$L$39*'TE BE'!$L$48</f>
        <v>0</v>
      </c>
      <c r="M39" s="20">
        <f>'TE BE'!$M$39*'TE BE'!$M$48</f>
        <v>0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0</v>
      </c>
      <c r="R39" s="20">
        <f>'TE BE'!$R$39*'TE BE'!$R$48</f>
        <v>-11.057470951815702</v>
      </c>
      <c r="S39" s="20">
        <f>SUM($R$39:$R$39)</f>
        <v>-11.057470951815702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0</v>
      </c>
      <c r="Y39" s="20">
        <f>SUM($X$39:$X$39)</f>
        <v>0</v>
      </c>
      <c r="Z39" s="20">
        <f>'TE BE'!$Z$39*'TE BE'!$Z$48</f>
        <v>0</v>
      </c>
      <c r="AA39" s="20">
        <f>SUM($Z$39:$Z$39)</f>
        <v>0</v>
      </c>
      <c r="AB39" s="20">
        <f>SUMIF($L$4:$AA$4,"SUBTOTAL",$L$39:$AA$39)</f>
        <v>-11.057470951815702</v>
      </c>
    </row>
    <row r="40" spans="1:28" ht="11.25" customHeight="1" x14ac:dyDescent="0.25">
      <c r="A40" s="97" t="s">
        <v>43</v>
      </c>
      <c r="B40" s="97" t="s">
        <v>84</v>
      </c>
      <c r="C40" s="97" t="s">
        <v>44</v>
      </c>
      <c r="D40" s="22" t="s">
        <v>45</v>
      </c>
      <c r="E40" s="22" t="s">
        <v>25</v>
      </c>
      <c r="F40" s="22" t="s">
        <v>25</v>
      </c>
      <c r="G40" s="23" t="s">
        <v>77</v>
      </c>
      <c r="H40" s="23" t="s">
        <v>70</v>
      </c>
      <c r="I40" s="23">
        <f>'MERCADO TE'!$U$37</f>
        <v>1954.79</v>
      </c>
      <c r="J40" s="15"/>
      <c r="L40" s="20">
        <f>'TE BE'!$L$40*'TE BE'!$L$48</f>
        <v>0</v>
      </c>
      <c r="M40" s="20">
        <f>'TE BE'!$M$40*'TE BE'!$M$48</f>
        <v>0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0</v>
      </c>
      <c r="R40" s="20">
        <f>'TE BE'!$R$40*'TE BE'!$R$48</f>
        <v>-6.0816090234986371</v>
      </c>
      <c r="S40" s="20">
        <f>SUM($R$40:$R$40)</f>
        <v>-6.0816090234986371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0</v>
      </c>
      <c r="Y40" s="20">
        <f>SUM($X$40:$X$40)</f>
        <v>0</v>
      </c>
      <c r="Z40" s="20">
        <f>'TE BE'!$Z$40*'TE BE'!$Z$48</f>
        <v>0</v>
      </c>
      <c r="AA40" s="20">
        <f>SUM($Z$40:$Z$40)</f>
        <v>0</v>
      </c>
      <c r="AB40" s="20">
        <f>SUMIF($L$4:$AA$4,"SUBTOTAL",$L$40:$AA$40)</f>
        <v>-6.0816090234986371</v>
      </c>
    </row>
    <row r="41" spans="1:28" ht="11.25" customHeight="1" x14ac:dyDescent="0.25">
      <c r="A41" s="97"/>
      <c r="B41" s="97"/>
      <c r="C41" s="97"/>
      <c r="D41" s="23" t="s">
        <v>46</v>
      </c>
      <c r="E41" s="23" t="s">
        <v>25</v>
      </c>
      <c r="F41" s="23" t="s">
        <v>25</v>
      </c>
      <c r="G41" s="23" t="s">
        <v>77</v>
      </c>
      <c r="H41" s="23" t="s">
        <v>70</v>
      </c>
      <c r="I41" s="23">
        <f>'MERCADO TE'!$U$38</f>
        <v>1.4530000000000001</v>
      </c>
      <c r="J41" s="15"/>
      <c r="L41" s="20">
        <f>'TE BE'!$L$41*'TE BE'!$L$48</f>
        <v>0</v>
      </c>
      <c r="M41" s="20">
        <f>'TE BE'!$M$41*'TE BE'!$M$48</f>
        <v>0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0</v>
      </c>
      <c r="R41" s="20">
        <f>'TE BE'!$R$41*'TE BE'!$R$48</f>
        <v>-6.6344825710894204</v>
      </c>
      <c r="S41" s="20">
        <f>SUM($R$41:$R$41)</f>
        <v>-6.6344825710894204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0</v>
      </c>
      <c r="Y41" s="20">
        <f>SUM($X$41:$X$41)</f>
        <v>0</v>
      </c>
      <c r="Z41" s="20">
        <f>'TE BE'!$Z$41*'TE BE'!$Z$48</f>
        <v>0</v>
      </c>
      <c r="AA41" s="20">
        <f>SUM($Z$41:$Z$41)</f>
        <v>0</v>
      </c>
      <c r="AB41" s="20">
        <f>SUMIF($L$4:$AA$4,"SUBTOTAL",$L$41:$AA$41)</f>
        <v>-6.6344825710894204</v>
      </c>
    </row>
    <row r="43" spans="1:28" ht="11.25" customHeight="1" x14ac:dyDescent="0.25">
      <c r="K43" s="25" t="s">
        <v>474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-306012.83600077051</v>
      </c>
      <c r="S43" s="20">
        <f t="shared" si="0"/>
        <v>-306012.83600077051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-306012.83600077051</v>
      </c>
    </row>
    <row r="44" spans="1:28" ht="11.25" customHeight="1" x14ac:dyDescent="0.25">
      <c r="K44" s="25" t="s">
        <v>393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4566747.0555940801</v>
      </c>
      <c r="S44" s="20">
        <f>CUSTOS!$D$37</f>
        <v>4566747.0555940801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4566747.0555940801</v>
      </c>
    </row>
    <row r="45" spans="1:28" ht="11.25" customHeight="1" x14ac:dyDescent="0.25">
      <c r="K45" s="25" t="s">
        <v>394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-306012.83600077045</v>
      </c>
      <c r="S45" s="20">
        <f>CUSTOS!$E$37</f>
        <v>-306012.83600077045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-306012.83600077045</v>
      </c>
    </row>
    <row r="46" spans="1:28" ht="11.25" customHeight="1" x14ac:dyDescent="0.25">
      <c r="K46" s="25" t="s">
        <v>395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 s="25" t="s">
        <v>475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25">
      <c r="K48" s="25" t="s">
        <v>470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520" priority="33" operator="notEqual">
      <formula>$L$45</formula>
    </cfRule>
    <cfRule type="cellIs" dxfId="519" priority="34" operator="equal">
      <formula>$L$45</formula>
    </cfRule>
  </conditionalFormatting>
  <conditionalFormatting sqref="M43">
    <cfRule type="cellIs" dxfId="518" priority="31" operator="notEqual">
      <formula>$M$45</formula>
    </cfRule>
    <cfRule type="cellIs" dxfId="517" priority="32" operator="equal">
      <formula>$M$45</formula>
    </cfRule>
  </conditionalFormatting>
  <conditionalFormatting sqref="N43">
    <cfRule type="cellIs" dxfId="516" priority="29" operator="notEqual">
      <formula>$N$45</formula>
    </cfRule>
    <cfRule type="cellIs" dxfId="515" priority="30" operator="equal">
      <formula>$N$45</formula>
    </cfRule>
  </conditionalFormatting>
  <conditionalFormatting sqref="O43">
    <cfRule type="cellIs" dxfId="514" priority="27" operator="notEqual">
      <formula>$O$45</formula>
    </cfRule>
    <cfRule type="cellIs" dxfId="513" priority="28" operator="equal">
      <formula>$O$45</formula>
    </cfRule>
  </conditionalFormatting>
  <conditionalFormatting sqref="P43">
    <cfRule type="cellIs" dxfId="512" priority="25" operator="notEqual">
      <formula>$P$45</formula>
    </cfRule>
    <cfRule type="cellIs" dxfId="511" priority="26" operator="equal">
      <formula>$P$45</formula>
    </cfRule>
  </conditionalFormatting>
  <conditionalFormatting sqref="Q43">
    <cfRule type="cellIs" dxfId="510" priority="23" operator="notEqual">
      <formula>$Q$45</formula>
    </cfRule>
    <cfRule type="cellIs" dxfId="509" priority="24" operator="equal">
      <formula>$Q$45</formula>
    </cfRule>
  </conditionalFormatting>
  <conditionalFormatting sqref="R43">
    <cfRule type="cellIs" dxfId="508" priority="21" operator="notEqual">
      <formula>$R$45</formula>
    </cfRule>
    <cfRule type="cellIs" dxfId="507" priority="22" operator="equal">
      <formula>$R$45</formula>
    </cfRule>
  </conditionalFormatting>
  <conditionalFormatting sqref="S43">
    <cfRule type="cellIs" dxfId="506" priority="19" operator="notEqual">
      <formula>$S$45</formula>
    </cfRule>
    <cfRule type="cellIs" dxfId="505" priority="20" operator="equal">
      <formula>$S$45</formula>
    </cfRule>
  </conditionalFormatting>
  <conditionalFormatting sqref="T43">
    <cfRule type="cellIs" dxfId="504" priority="17" operator="notEqual">
      <formula>$T$45</formula>
    </cfRule>
    <cfRule type="cellIs" dxfId="503" priority="18" operator="equal">
      <formula>$T$45</formula>
    </cfRule>
  </conditionalFormatting>
  <conditionalFormatting sqref="U43">
    <cfRule type="cellIs" dxfId="502" priority="15" operator="notEqual">
      <formula>$U$45</formula>
    </cfRule>
    <cfRule type="cellIs" dxfId="501" priority="16" operator="equal">
      <formula>$U$45</formula>
    </cfRule>
  </conditionalFormatting>
  <conditionalFormatting sqref="V43">
    <cfRule type="cellIs" dxfId="500" priority="13" operator="notEqual">
      <formula>$V$45</formula>
    </cfRule>
    <cfRule type="cellIs" dxfId="499" priority="14" operator="equal">
      <formula>$V$45</formula>
    </cfRule>
  </conditionalFormatting>
  <conditionalFormatting sqref="W43">
    <cfRule type="cellIs" dxfId="498" priority="11" operator="notEqual">
      <formula>$W$45</formula>
    </cfRule>
    <cfRule type="cellIs" dxfId="497" priority="12" operator="equal">
      <formula>$W$45</formula>
    </cfRule>
  </conditionalFormatting>
  <conditionalFormatting sqref="X43">
    <cfRule type="cellIs" dxfId="496" priority="9" operator="notEqual">
      <formula>$X$45</formula>
    </cfRule>
    <cfRule type="cellIs" dxfId="495" priority="10" operator="equal">
      <formula>$X$45</formula>
    </cfRule>
  </conditionalFormatting>
  <conditionalFormatting sqref="Y43">
    <cfRule type="cellIs" dxfId="494" priority="7" operator="notEqual">
      <formula>$Y$45</formula>
    </cfRule>
    <cfRule type="cellIs" dxfId="493" priority="8" operator="equal">
      <formula>$Y$45</formula>
    </cfRule>
  </conditionalFormatting>
  <conditionalFormatting sqref="Z43">
    <cfRule type="cellIs" dxfId="492" priority="5" operator="notEqual">
      <formula>$Z$45</formula>
    </cfRule>
    <cfRule type="cellIs" dxfId="491" priority="6" operator="equal">
      <formula>$Z$45</formula>
    </cfRule>
  </conditionalFormatting>
  <conditionalFormatting sqref="AA43">
    <cfRule type="cellIs" dxfId="490" priority="3" operator="notEqual">
      <formula>$AA$45</formula>
    </cfRule>
    <cfRule type="cellIs" dxfId="489" priority="4" operator="equal">
      <formula>$AA$45</formula>
    </cfRule>
  </conditionalFormatting>
  <conditionalFormatting sqref="AB43">
    <cfRule type="cellIs" dxfId="488" priority="1" operator="notEqual">
      <formula>$AB$45</formula>
    </cfRule>
    <cfRule type="cellIs" dxfId="487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3D5-F6BF-4602-9C99-2A3263107A79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98" t="s">
        <v>60</v>
      </c>
      <c r="B1" s="98" t="s">
        <v>61</v>
      </c>
      <c r="C1" s="98" t="s">
        <v>62</v>
      </c>
      <c r="D1" s="98" t="s">
        <v>63</v>
      </c>
      <c r="E1" s="98" t="s">
        <v>64</v>
      </c>
      <c r="F1" s="98" t="s">
        <v>15</v>
      </c>
      <c r="G1" s="98" t="s">
        <v>66</v>
      </c>
      <c r="H1" s="98" t="s">
        <v>67</v>
      </c>
      <c r="I1" s="98" t="s">
        <v>452</v>
      </c>
      <c r="J1" s="82"/>
      <c r="L1" s="99" t="s">
        <v>480</v>
      </c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</row>
    <row r="2" spans="1:28" ht="11.25" customHeight="1" x14ac:dyDescent="0.25">
      <c r="A2" s="98"/>
      <c r="B2" s="98"/>
      <c r="C2" s="98"/>
      <c r="D2" s="98"/>
      <c r="E2" s="98"/>
      <c r="F2" s="98"/>
      <c r="G2" s="98"/>
      <c r="H2" s="98"/>
      <c r="I2" s="98"/>
      <c r="J2" s="82"/>
      <c r="L2" s="99" t="s">
        <v>379</v>
      </c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</row>
    <row r="3" spans="1:28" ht="11.25" customHeight="1" x14ac:dyDescent="0.25">
      <c r="A3" s="98"/>
      <c r="B3" s="98"/>
      <c r="C3" s="98"/>
      <c r="D3" s="98"/>
      <c r="E3" s="98"/>
      <c r="F3" s="98"/>
      <c r="G3" s="98"/>
      <c r="H3" s="98"/>
      <c r="I3" s="98"/>
      <c r="J3" s="82"/>
      <c r="L3" s="99" t="s">
        <v>352</v>
      </c>
      <c r="M3" s="99"/>
      <c r="N3" s="99"/>
      <c r="O3" s="99"/>
      <c r="P3" s="99"/>
      <c r="Q3" s="99"/>
      <c r="R3" s="99" t="s">
        <v>383</v>
      </c>
      <c r="S3" s="99"/>
      <c r="T3" s="99" t="s">
        <v>361</v>
      </c>
      <c r="U3" s="99"/>
      <c r="V3" s="99"/>
      <c r="W3" s="99"/>
      <c r="X3" s="99" t="s">
        <v>371</v>
      </c>
      <c r="Y3" s="99"/>
      <c r="Z3" s="99" t="s">
        <v>374</v>
      </c>
      <c r="AA3" s="99"/>
      <c r="AB3" s="99" t="s">
        <v>360</v>
      </c>
    </row>
    <row r="4" spans="1:28" ht="11.25" customHeight="1" x14ac:dyDescent="0.25">
      <c r="A4" s="98"/>
      <c r="B4" s="98"/>
      <c r="C4" s="98"/>
      <c r="D4" s="98"/>
      <c r="E4" s="98"/>
      <c r="F4" s="98"/>
      <c r="G4" s="98"/>
      <c r="H4" s="98"/>
      <c r="I4" s="98"/>
      <c r="J4" s="82"/>
      <c r="L4" s="24" t="s">
        <v>354</v>
      </c>
      <c r="M4" s="24" t="s">
        <v>380</v>
      </c>
      <c r="N4" s="24" t="s">
        <v>381</v>
      </c>
      <c r="O4" s="24" t="s">
        <v>440</v>
      </c>
      <c r="P4" s="24" t="s">
        <v>382</v>
      </c>
      <c r="Q4" s="24" t="s">
        <v>360</v>
      </c>
      <c r="R4" s="24" t="s">
        <v>384</v>
      </c>
      <c r="S4" s="24" t="s">
        <v>360</v>
      </c>
      <c r="T4" s="24" t="s">
        <v>385</v>
      </c>
      <c r="U4" s="24" t="s">
        <v>386</v>
      </c>
      <c r="V4" s="24" t="s">
        <v>387</v>
      </c>
      <c r="W4" s="24" t="s">
        <v>360</v>
      </c>
      <c r="X4" s="24" t="s">
        <v>372</v>
      </c>
      <c r="Y4" s="24" t="s">
        <v>360</v>
      </c>
      <c r="Z4" s="24" t="s">
        <v>388</v>
      </c>
      <c r="AA4" s="24" t="s">
        <v>360</v>
      </c>
      <c r="AB4" s="100"/>
    </row>
    <row r="5" spans="1:28" ht="11.25" customHeight="1" x14ac:dyDescent="0.25">
      <c r="A5" s="97" t="s">
        <v>35</v>
      </c>
      <c r="B5" s="97" t="s">
        <v>69</v>
      </c>
      <c r="C5" s="97" t="s">
        <v>25</v>
      </c>
      <c r="D5" s="97" t="s">
        <v>25</v>
      </c>
      <c r="E5" s="97" t="s">
        <v>25</v>
      </c>
      <c r="F5" s="97" t="s">
        <v>25</v>
      </c>
      <c r="G5" s="23" t="s">
        <v>71</v>
      </c>
      <c r="H5" s="23" t="s">
        <v>70</v>
      </c>
      <c r="I5" s="23">
        <f>'MERCADO TE'!$U$2</f>
        <v>232.29900000000001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25">
      <c r="A6" s="97"/>
      <c r="B6" s="97"/>
      <c r="C6" s="97"/>
      <c r="D6" s="97"/>
      <c r="E6" s="97"/>
      <c r="F6" s="97"/>
      <c r="G6" s="23" t="s">
        <v>72</v>
      </c>
      <c r="H6" s="23" t="s">
        <v>70</v>
      </c>
      <c r="I6" s="23">
        <f>'MERCADO TE'!$U$3</f>
        <v>7582.5569999999989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25">
      <c r="A7" s="97" t="s">
        <v>22</v>
      </c>
      <c r="B7" s="97" t="s">
        <v>69</v>
      </c>
      <c r="C7" s="97" t="s">
        <v>24</v>
      </c>
      <c r="D7" s="97" t="s">
        <v>24</v>
      </c>
      <c r="E7" s="97" t="s">
        <v>25</v>
      </c>
      <c r="F7" s="97" t="s">
        <v>25</v>
      </c>
      <c r="G7" s="23" t="s">
        <v>71</v>
      </c>
      <c r="H7" s="23" t="s">
        <v>70</v>
      </c>
      <c r="I7" s="23">
        <f>'MERCADO TE'!$U$4</f>
        <v>0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25">
      <c r="A8" s="97"/>
      <c r="B8" s="97"/>
      <c r="C8" s="97"/>
      <c r="D8" s="97"/>
      <c r="E8" s="97"/>
      <c r="F8" s="97"/>
      <c r="G8" s="23" t="s">
        <v>83</v>
      </c>
      <c r="H8" s="23" t="s">
        <v>70</v>
      </c>
      <c r="I8" s="23">
        <f>'MERCADO TE'!$U$5</f>
        <v>0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25">
      <c r="A9" s="97"/>
      <c r="B9" s="97"/>
      <c r="C9" s="97"/>
      <c r="D9" s="97"/>
      <c r="E9" s="97"/>
      <c r="F9" s="97"/>
      <c r="G9" s="23" t="s">
        <v>72</v>
      </c>
      <c r="H9" s="23" t="s">
        <v>70</v>
      </c>
      <c r="I9" s="23">
        <f>'MERCADO TE'!$U$6</f>
        <v>0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25">
      <c r="A10" s="97"/>
      <c r="B10" s="97" t="s">
        <v>84</v>
      </c>
      <c r="C10" s="97" t="s">
        <v>24</v>
      </c>
      <c r="D10" s="22" t="s">
        <v>24</v>
      </c>
      <c r="E10" s="22" t="s">
        <v>25</v>
      </c>
      <c r="F10" s="22" t="s">
        <v>25</v>
      </c>
      <c r="G10" s="23" t="s">
        <v>77</v>
      </c>
      <c r="H10" s="23" t="s">
        <v>70</v>
      </c>
      <c r="I10" s="23">
        <f>'MERCADO TE'!$U$7</f>
        <v>10122.061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25">
      <c r="A11" s="97"/>
      <c r="B11" s="97"/>
      <c r="C11" s="97"/>
      <c r="D11" s="22" t="s">
        <v>29</v>
      </c>
      <c r="E11" s="22" t="s">
        <v>25</v>
      </c>
      <c r="F11" s="22" t="s">
        <v>25</v>
      </c>
      <c r="G11" s="23" t="s">
        <v>77</v>
      </c>
      <c r="H11" s="23" t="s">
        <v>70</v>
      </c>
      <c r="I11" s="23">
        <f>'MERCADO TE'!$U$8</f>
        <v>111.12200000000001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25">
      <c r="A12" s="97"/>
      <c r="B12" s="97"/>
      <c r="C12" s="97"/>
      <c r="D12" s="22" t="s">
        <v>30</v>
      </c>
      <c r="E12" s="22" t="s">
        <v>25</v>
      </c>
      <c r="F12" s="22" t="s">
        <v>25</v>
      </c>
      <c r="G12" s="23" t="s">
        <v>77</v>
      </c>
      <c r="H12" s="23" t="s">
        <v>70</v>
      </c>
      <c r="I12" s="23">
        <f>'MERCADO TE'!$U$9</f>
        <v>223.66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25">
      <c r="A13" s="97"/>
      <c r="B13" s="97"/>
      <c r="C13" s="97"/>
      <c r="D13" s="22" t="s">
        <v>31</v>
      </c>
      <c r="E13" s="22" t="s">
        <v>25</v>
      </c>
      <c r="F13" s="22" t="s">
        <v>25</v>
      </c>
      <c r="G13" s="23" t="s">
        <v>77</v>
      </c>
      <c r="H13" s="23" t="s">
        <v>70</v>
      </c>
      <c r="I13" s="23">
        <f>'MERCADO TE'!$U$10</f>
        <v>229.345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25">
      <c r="A14" s="97"/>
      <c r="B14" s="97"/>
      <c r="C14" s="97"/>
      <c r="D14" s="22" t="s">
        <v>32</v>
      </c>
      <c r="E14" s="22" t="s">
        <v>25</v>
      </c>
      <c r="F14" s="22" t="s">
        <v>25</v>
      </c>
      <c r="G14" s="23" t="s">
        <v>77</v>
      </c>
      <c r="H14" s="23" t="s">
        <v>70</v>
      </c>
      <c r="I14" s="23">
        <f>'MERCADO TE'!$U$11</f>
        <v>103.19500000000001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25">
      <c r="A15" s="97"/>
      <c r="B15" s="97" t="s">
        <v>86</v>
      </c>
      <c r="C15" s="97" t="s">
        <v>24</v>
      </c>
      <c r="D15" s="22" t="s">
        <v>24</v>
      </c>
      <c r="E15" s="22" t="s">
        <v>25</v>
      </c>
      <c r="F15" s="22" t="s">
        <v>25</v>
      </c>
      <c r="G15" s="23" t="s">
        <v>77</v>
      </c>
      <c r="H15" s="23" t="s">
        <v>70</v>
      </c>
      <c r="I15" s="23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25">
      <c r="A16" s="97"/>
      <c r="B16" s="97"/>
      <c r="C16" s="97"/>
      <c r="D16" s="22" t="s">
        <v>29</v>
      </c>
      <c r="E16" s="22" t="s">
        <v>25</v>
      </c>
      <c r="F16" s="22" t="s">
        <v>25</v>
      </c>
      <c r="G16" s="23" t="s">
        <v>77</v>
      </c>
      <c r="H16" s="23" t="s">
        <v>70</v>
      </c>
      <c r="I16" s="23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25">
      <c r="A17" s="97"/>
      <c r="B17" s="97"/>
      <c r="C17" s="97"/>
      <c r="D17" s="22" t="s">
        <v>30</v>
      </c>
      <c r="E17" s="22" t="s">
        <v>25</v>
      </c>
      <c r="F17" s="22" t="s">
        <v>25</v>
      </c>
      <c r="G17" s="23" t="s">
        <v>77</v>
      </c>
      <c r="H17" s="23" t="s">
        <v>70</v>
      </c>
      <c r="I17" s="23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25">
      <c r="A18" s="97"/>
      <c r="B18" s="97"/>
      <c r="C18" s="97"/>
      <c r="D18" s="22" t="s">
        <v>31</v>
      </c>
      <c r="E18" s="22" t="s">
        <v>25</v>
      </c>
      <c r="F18" s="22" t="s">
        <v>25</v>
      </c>
      <c r="G18" s="23" t="s">
        <v>77</v>
      </c>
      <c r="H18" s="23" t="s">
        <v>70</v>
      </c>
      <c r="I18" s="23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25">
      <c r="A19" s="97"/>
      <c r="B19" s="97"/>
      <c r="C19" s="97"/>
      <c r="D19" s="22" t="s">
        <v>32</v>
      </c>
      <c r="E19" s="22" t="s">
        <v>25</v>
      </c>
      <c r="F19" s="22" t="s">
        <v>25</v>
      </c>
      <c r="G19" s="23" t="s">
        <v>77</v>
      </c>
      <c r="H19" s="23" t="s">
        <v>70</v>
      </c>
      <c r="I19" s="23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25">
      <c r="A20" s="97" t="s">
        <v>40</v>
      </c>
      <c r="B20" s="97" t="s">
        <v>69</v>
      </c>
      <c r="C20" s="97" t="s">
        <v>41</v>
      </c>
      <c r="D20" s="97" t="s">
        <v>25</v>
      </c>
      <c r="E20" s="97" t="s">
        <v>25</v>
      </c>
      <c r="F20" s="97" t="s">
        <v>25</v>
      </c>
      <c r="G20" s="23" t="s">
        <v>71</v>
      </c>
      <c r="H20" s="23" t="s">
        <v>70</v>
      </c>
      <c r="I20" s="23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25">
      <c r="A21" s="97"/>
      <c r="B21" s="97"/>
      <c r="C21" s="97"/>
      <c r="D21" s="97"/>
      <c r="E21" s="97"/>
      <c r="F21" s="97"/>
      <c r="G21" s="23" t="s">
        <v>83</v>
      </c>
      <c r="H21" s="23" t="s">
        <v>70</v>
      </c>
      <c r="I21" s="23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25">
      <c r="A22" s="97"/>
      <c r="B22" s="97"/>
      <c r="C22" s="97"/>
      <c r="D22" s="97"/>
      <c r="E22" s="97"/>
      <c r="F22" s="97"/>
      <c r="G22" s="23" t="s">
        <v>72</v>
      </c>
      <c r="H22" s="23" t="s">
        <v>70</v>
      </c>
      <c r="I22" s="23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25">
      <c r="A23" s="97"/>
      <c r="B23" s="22" t="s">
        <v>84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77</v>
      </c>
      <c r="H23" s="23" t="s">
        <v>70</v>
      </c>
      <c r="I23" s="23">
        <f>'MERCADO TE'!$U$20</f>
        <v>3283.42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25">
      <c r="A24" s="97"/>
      <c r="B24" s="97" t="s">
        <v>69</v>
      </c>
      <c r="C24" s="97" t="s">
        <v>41</v>
      </c>
      <c r="D24" s="97" t="s">
        <v>88</v>
      </c>
      <c r="E24" s="97" t="s">
        <v>25</v>
      </c>
      <c r="F24" s="97" t="s">
        <v>25</v>
      </c>
      <c r="G24" s="23" t="s">
        <v>71</v>
      </c>
      <c r="H24" s="23" t="s">
        <v>70</v>
      </c>
      <c r="I24" s="23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25">
      <c r="A25" s="97"/>
      <c r="B25" s="97"/>
      <c r="C25" s="97"/>
      <c r="D25" s="97"/>
      <c r="E25" s="97"/>
      <c r="F25" s="97"/>
      <c r="G25" s="23" t="s">
        <v>83</v>
      </c>
      <c r="H25" s="23" t="s">
        <v>70</v>
      </c>
      <c r="I25" s="23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25">
      <c r="A26" s="97"/>
      <c r="B26" s="97"/>
      <c r="C26" s="97"/>
      <c r="D26" s="97"/>
      <c r="E26" s="97"/>
      <c r="F26" s="97"/>
      <c r="G26" s="23" t="s">
        <v>72</v>
      </c>
      <c r="H26" s="23" t="s">
        <v>70</v>
      </c>
      <c r="I26" s="23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25">
      <c r="A27" s="97"/>
      <c r="B27" s="22" t="s">
        <v>84</v>
      </c>
      <c r="C27" s="22" t="s">
        <v>41</v>
      </c>
      <c r="D27" s="22" t="s">
        <v>88</v>
      </c>
      <c r="E27" s="22" t="s">
        <v>25</v>
      </c>
      <c r="F27" s="22" t="s">
        <v>25</v>
      </c>
      <c r="G27" s="23" t="s">
        <v>77</v>
      </c>
      <c r="H27" s="23" t="s">
        <v>70</v>
      </c>
      <c r="I27" s="23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25">
      <c r="A28" s="97"/>
      <c r="B28" s="97" t="s">
        <v>69</v>
      </c>
      <c r="C28" s="97" t="s">
        <v>41</v>
      </c>
      <c r="D28" s="97" t="s">
        <v>89</v>
      </c>
      <c r="E28" s="97" t="s">
        <v>25</v>
      </c>
      <c r="F28" s="97" t="s">
        <v>25</v>
      </c>
      <c r="G28" s="23" t="s">
        <v>71</v>
      </c>
      <c r="H28" s="23" t="s">
        <v>70</v>
      </c>
      <c r="I28" s="23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25">
      <c r="A29" s="97"/>
      <c r="B29" s="97"/>
      <c r="C29" s="97"/>
      <c r="D29" s="97"/>
      <c r="E29" s="97"/>
      <c r="F29" s="97"/>
      <c r="G29" s="23" t="s">
        <v>83</v>
      </c>
      <c r="H29" s="23" t="s">
        <v>70</v>
      </c>
      <c r="I29" s="23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25">
      <c r="A30" s="97"/>
      <c r="B30" s="97"/>
      <c r="C30" s="97"/>
      <c r="D30" s="97"/>
      <c r="E30" s="97"/>
      <c r="F30" s="97"/>
      <c r="G30" s="23" t="s">
        <v>72</v>
      </c>
      <c r="H30" s="23" t="s">
        <v>70</v>
      </c>
      <c r="I30" s="23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25">
      <c r="A31" s="97"/>
      <c r="B31" s="22" t="s">
        <v>84</v>
      </c>
      <c r="C31" s="22" t="s">
        <v>41</v>
      </c>
      <c r="D31" s="22" t="s">
        <v>89</v>
      </c>
      <c r="E31" s="22" t="s">
        <v>25</v>
      </c>
      <c r="F31" s="22" t="s">
        <v>25</v>
      </c>
      <c r="G31" s="23" t="s">
        <v>77</v>
      </c>
      <c r="H31" s="23" t="s">
        <v>70</v>
      </c>
      <c r="I31" s="23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25">
      <c r="A32" s="97"/>
      <c r="B32" s="97" t="s">
        <v>86</v>
      </c>
      <c r="C32" s="97" t="s">
        <v>41</v>
      </c>
      <c r="D32" s="22" t="s">
        <v>25</v>
      </c>
      <c r="E32" s="22" t="s">
        <v>25</v>
      </c>
      <c r="F32" s="22" t="s">
        <v>25</v>
      </c>
      <c r="G32" s="23" t="s">
        <v>77</v>
      </c>
      <c r="H32" s="23" t="s">
        <v>70</v>
      </c>
      <c r="I32" s="23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25">
      <c r="A33" s="97"/>
      <c r="B33" s="97"/>
      <c r="C33" s="97"/>
      <c r="D33" s="22" t="s">
        <v>88</v>
      </c>
      <c r="E33" s="22" t="s">
        <v>25</v>
      </c>
      <c r="F33" s="22" t="s">
        <v>25</v>
      </c>
      <c r="G33" s="23" t="s">
        <v>77</v>
      </c>
      <c r="H33" s="23" t="s">
        <v>70</v>
      </c>
      <c r="I33" s="23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25">
      <c r="A34" s="97"/>
      <c r="B34" s="97"/>
      <c r="C34" s="97"/>
      <c r="D34" s="22" t="s">
        <v>89</v>
      </c>
      <c r="E34" s="22" t="s">
        <v>25</v>
      </c>
      <c r="F34" s="22" t="s">
        <v>25</v>
      </c>
      <c r="G34" s="23" t="s">
        <v>77</v>
      </c>
      <c r="H34" s="23" t="s">
        <v>70</v>
      </c>
      <c r="I34" s="23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25">
      <c r="A35" s="97" t="s">
        <v>33</v>
      </c>
      <c r="B35" s="97" t="s">
        <v>69</v>
      </c>
      <c r="C35" s="97" t="s">
        <v>25</v>
      </c>
      <c r="D35" s="97" t="s">
        <v>25</v>
      </c>
      <c r="E35" s="97" t="s">
        <v>25</v>
      </c>
      <c r="F35" s="97" t="s">
        <v>25</v>
      </c>
      <c r="G35" s="23" t="s">
        <v>71</v>
      </c>
      <c r="H35" s="23" t="s">
        <v>70</v>
      </c>
      <c r="I35" s="23">
        <f>'MERCADO TE'!$U$32</f>
        <v>0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25">
      <c r="A36" s="97"/>
      <c r="B36" s="97"/>
      <c r="C36" s="97"/>
      <c r="D36" s="97"/>
      <c r="E36" s="97"/>
      <c r="F36" s="97"/>
      <c r="G36" s="23" t="s">
        <v>83</v>
      </c>
      <c r="H36" s="23" t="s">
        <v>70</v>
      </c>
      <c r="I36" s="23">
        <f>'MERCADO TE'!$U$33</f>
        <v>0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25">
      <c r="A37" s="97"/>
      <c r="B37" s="97"/>
      <c r="C37" s="97"/>
      <c r="D37" s="97"/>
      <c r="E37" s="97"/>
      <c r="F37" s="97"/>
      <c r="G37" s="23" t="s">
        <v>72</v>
      </c>
      <c r="H37" s="23" t="s">
        <v>70</v>
      </c>
      <c r="I37" s="23">
        <f>'MERCADO TE'!$U$34</f>
        <v>0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25">
      <c r="A38" s="97"/>
      <c r="B38" s="22" t="s">
        <v>84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77</v>
      </c>
      <c r="H38" s="23" t="s">
        <v>70</v>
      </c>
      <c r="I38" s="23">
        <f>'MERCADO TE'!$U$35</f>
        <v>4711.0929999999998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25">
      <c r="A39" s="97"/>
      <c r="B39" s="22" t="s">
        <v>86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77</v>
      </c>
      <c r="H39" s="23" t="s">
        <v>70</v>
      </c>
      <c r="I39" s="23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25">
      <c r="A40" s="97" t="s">
        <v>43</v>
      </c>
      <c r="B40" s="97" t="s">
        <v>84</v>
      </c>
      <c r="C40" s="97" t="s">
        <v>44</v>
      </c>
      <c r="D40" s="22" t="s">
        <v>45</v>
      </c>
      <c r="E40" s="22" t="s">
        <v>25</v>
      </c>
      <c r="F40" s="22" t="s">
        <v>25</v>
      </c>
      <c r="G40" s="23" t="s">
        <v>77</v>
      </c>
      <c r="H40" s="23" t="s">
        <v>70</v>
      </c>
      <c r="I40" s="23">
        <f>'MERCADO TE'!$U$37</f>
        <v>1954.79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25">
      <c r="A41" s="97"/>
      <c r="B41" s="97"/>
      <c r="C41" s="97"/>
      <c r="D41" s="23" t="s">
        <v>46</v>
      </c>
      <c r="E41" s="23" t="s">
        <v>25</v>
      </c>
      <c r="F41" s="23" t="s">
        <v>25</v>
      </c>
      <c r="G41" s="23" t="s">
        <v>77</v>
      </c>
      <c r="H41" s="23" t="s">
        <v>70</v>
      </c>
      <c r="I41" s="23">
        <f>'MERCADO TE'!$U$38</f>
        <v>1.4530000000000001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25">
      <c r="K43" s="25" t="s">
        <v>474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25">
      <c r="K44" s="25" t="s">
        <v>393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4566747.0555940801</v>
      </c>
      <c r="S44" s="20">
        <f>CUSTOS!$D$37</f>
        <v>4566747.0555940801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4566747.0555940801</v>
      </c>
    </row>
    <row r="45" spans="1:28" ht="11.25" customHeight="1" x14ac:dyDescent="0.25">
      <c r="K45" s="25" t="s">
        <v>394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-306012.83600077045</v>
      </c>
      <c r="S45" s="20">
        <f>CUSTOS!$E$37</f>
        <v>-306012.83600077045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-306012.83600077045</v>
      </c>
    </row>
    <row r="46" spans="1:28" ht="11.25" customHeight="1" x14ac:dyDescent="0.25">
      <c r="K46" s="25" t="s">
        <v>395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486" priority="33" operator="notEqual">
      <formula>$L$46</formula>
    </cfRule>
    <cfRule type="cellIs" dxfId="485" priority="34" operator="equal">
      <formula>$L$46</formula>
    </cfRule>
  </conditionalFormatting>
  <conditionalFormatting sqref="M43">
    <cfRule type="cellIs" dxfId="484" priority="31" operator="notEqual">
      <formula>$M$46</formula>
    </cfRule>
    <cfRule type="cellIs" dxfId="483" priority="32" operator="equal">
      <formula>$M$46</formula>
    </cfRule>
  </conditionalFormatting>
  <conditionalFormatting sqref="N43">
    <cfRule type="cellIs" dxfId="482" priority="29" operator="notEqual">
      <formula>$N$46</formula>
    </cfRule>
    <cfRule type="cellIs" dxfId="481" priority="30" operator="equal">
      <formula>$N$46</formula>
    </cfRule>
  </conditionalFormatting>
  <conditionalFormatting sqref="O43">
    <cfRule type="cellIs" dxfId="480" priority="27" operator="notEqual">
      <formula>$O$46</formula>
    </cfRule>
    <cfRule type="cellIs" dxfId="479" priority="28" operator="equal">
      <formula>$O$46</formula>
    </cfRule>
  </conditionalFormatting>
  <conditionalFormatting sqref="P43">
    <cfRule type="cellIs" dxfId="478" priority="25" operator="notEqual">
      <formula>$P$46</formula>
    </cfRule>
    <cfRule type="cellIs" dxfId="477" priority="26" operator="equal">
      <formula>$P$46</formula>
    </cfRule>
  </conditionalFormatting>
  <conditionalFormatting sqref="Q43">
    <cfRule type="cellIs" dxfId="476" priority="23" operator="notEqual">
      <formula>$Q$46</formula>
    </cfRule>
    <cfRule type="cellIs" dxfId="475" priority="24" operator="equal">
      <formula>$Q$46</formula>
    </cfRule>
  </conditionalFormatting>
  <conditionalFormatting sqref="R43">
    <cfRule type="cellIs" dxfId="474" priority="21" operator="notEqual">
      <formula>$R$46</formula>
    </cfRule>
    <cfRule type="cellIs" dxfId="473" priority="22" operator="equal">
      <formula>$R$46</formula>
    </cfRule>
  </conditionalFormatting>
  <conditionalFormatting sqref="S43">
    <cfRule type="cellIs" dxfId="472" priority="19" operator="notEqual">
      <formula>$S$46</formula>
    </cfRule>
    <cfRule type="cellIs" dxfId="471" priority="20" operator="equal">
      <formula>$S$46</formula>
    </cfRule>
  </conditionalFormatting>
  <conditionalFormatting sqref="T43">
    <cfRule type="cellIs" dxfId="470" priority="17" operator="notEqual">
      <formula>$T$46</formula>
    </cfRule>
    <cfRule type="cellIs" dxfId="469" priority="18" operator="equal">
      <formula>$T$46</formula>
    </cfRule>
  </conditionalFormatting>
  <conditionalFormatting sqref="U43">
    <cfRule type="cellIs" dxfId="468" priority="15" operator="notEqual">
      <formula>$U$46</formula>
    </cfRule>
    <cfRule type="cellIs" dxfId="467" priority="16" operator="equal">
      <formula>$U$46</formula>
    </cfRule>
  </conditionalFormatting>
  <conditionalFormatting sqref="V43">
    <cfRule type="cellIs" dxfId="466" priority="13" operator="notEqual">
      <formula>$V$46</formula>
    </cfRule>
    <cfRule type="cellIs" dxfId="465" priority="14" operator="equal">
      <formula>$V$46</formula>
    </cfRule>
  </conditionalFormatting>
  <conditionalFormatting sqref="W43">
    <cfRule type="cellIs" dxfId="464" priority="11" operator="notEqual">
      <formula>$W$46</formula>
    </cfRule>
    <cfRule type="cellIs" dxfId="463" priority="12" operator="equal">
      <formula>$W$46</formula>
    </cfRule>
  </conditionalFormatting>
  <conditionalFormatting sqref="X43">
    <cfRule type="cellIs" dxfId="462" priority="9" operator="notEqual">
      <formula>$X$46</formula>
    </cfRule>
    <cfRule type="cellIs" dxfId="461" priority="10" operator="equal">
      <formula>$X$46</formula>
    </cfRule>
  </conditionalFormatting>
  <conditionalFormatting sqref="Y43">
    <cfRule type="cellIs" dxfId="460" priority="7" operator="notEqual">
      <formula>$Y$46</formula>
    </cfRule>
    <cfRule type="cellIs" dxfId="459" priority="8" operator="equal">
      <formula>$Y$46</formula>
    </cfRule>
  </conditionalFormatting>
  <conditionalFormatting sqref="Z43">
    <cfRule type="cellIs" dxfId="458" priority="5" operator="notEqual">
      <formula>$Z$46</formula>
    </cfRule>
    <cfRule type="cellIs" dxfId="457" priority="6" operator="equal">
      <formula>$Z$46</formula>
    </cfRule>
  </conditionalFormatting>
  <conditionalFormatting sqref="AA43">
    <cfRule type="cellIs" dxfId="456" priority="3" operator="notEqual">
      <formula>$AA$46</formula>
    </cfRule>
    <cfRule type="cellIs" dxfId="455" priority="4" operator="equal">
      <formula>$AA$46</formula>
    </cfRule>
  </conditionalFormatting>
  <conditionalFormatting sqref="AB43">
    <cfRule type="cellIs" dxfId="454" priority="1" operator="notEqual">
      <formula>$AB$46</formula>
    </cfRule>
    <cfRule type="cellIs" dxfId="45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8F28-34CE-4A87-ABDD-E9A9D5A03AC8}">
  <dimension ref="A1:AV345"/>
  <sheetViews>
    <sheetView showGridLines="0" workbookViewId="0">
      <selection sqref="A1:AG345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7" width="10.8554687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519</v>
      </c>
      <c r="AC1" s="1" t="s">
        <v>520</v>
      </c>
      <c r="AD1" s="1" t="s">
        <v>521</v>
      </c>
      <c r="AE1" s="1" t="s">
        <v>522</v>
      </c>
      <c r="AF1" s="1" t="s">
        <v>523</v>
      </c>
      <c r="AG1" s="1" t="s">
        <v>524</v>
      </c>
      <c r="AI1" s="34" t="s">
        <v>60</v>
      </c>
      <c r="AJ1" s="34" t="s">
        <v>525</v>
      </c>
      <c r="AK1" s="34" t="s">
        <v>526</v>
      </c>
      <c r="AL1" s="34" t="s">
        <v>527</v>
      </c>
      <c r="AN1" s="34" t="s">
        <v>60</v>
      </c>
      <c r="AO1" s="34" t="s">
        <v>528</v>
      </c>
      <c r="AP1" s="34" t="s">
        <v>529</v>
      </c>
      <c r="AQ1" s="34" t="s">
        <v>527</v>
      </c>
      <c r="AS1" s="34" t="s">
        <v>60</v>
      </c>
      <c r="AT1" s="34" t="s">
        <v>530</v>
      </c>
      <c r="AU1" s="34" t="s">
        <v>531</v>
      </c>
      <c r="AV1" s="34" t="s">
        <v>527</v>
      </c>
    </row>
    <row r="2" spans="1:48" ht="11.25" customHeight="1" x14ac:dyDescent="0.25">
      <c r="A2" s="3" t="s">
        <v>21</v>
      </c>
      <c r="B2" s="3" t="s">
        <v>35</v>
      </c>
      <c r="C2" s="3" t="s">
        <v>36</v>
      </c>
      <c r="D2" s="3" t="s">
        <v>39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4">
        <v>0</v>
      </c>
      <c r="L2" s="4">
        <v>204.73599999999999</v>
      </c>
      <c r="M2" s="4">
        <v>204.73599999999999</v>
      </c>
      <c r="N2" s="4">
        <v>204.73599999999999</v>
      </c>
      <c r="O2" s="4">
        <v>204.73599999999999</v>
      </c>
      <c r="P2" s="4">
        <v>0</v>
      </c>
      <c r="Q2" s="3" t="s">
        <v>26</v>
      </c>
      <c r="R2" s="3">
        <v>0</v>
      </c>
      <c r="S2" s="4">
        <v>0</v>
      </c>
      <c r="T2" s="4">
        <v>11</v>
      </c>
      <c r="U2" s="4">
        <v>56</v>
      </c>
      <c r="V2" s="4">
        <f>IF(ISERROR(VLOOKUP($S$2,'TAR FIN'!$A$1:$O$88,15,0)),0,VLOOKUP($S$2,'TAR FIN'!$A$1:$O$88,15,0))</f>
        <v>0</v>
      </c>
      <c r="W2" s="4">
        <f>IF(ISERROR(VLOOKUP($T$2,'TAR FIN'!$A$1:$O$88,15,0)),0,VLOOKUP($T$2,'TAR FIN'!$A$1:$O$88,15,0))</f>
        <v>67.52</v>
      </c>
      <c r="X2" s="4">
        <f>IF(ISERROR(VLOOKUP($U$2,'TAR FIN'!$A$1:$O$88,15,0)),0,VLOOKUP($U$2,'TAR FIN'!$A$1:$O$88,15,0))</f>
        <v>165.21</v>
      </c>
      <c r="Y2" s="4"/>
      <c r="Z2" s="4">
        <f ca="1">('TUSD BE'!$AM$12+'TUSD BF'!$AM$12+'TUSD CVA'!$AM$12)*1</f>
        <v>97.446478745899796</v>
      </c>
      <c r="AA2" s="4">
        <f>('TE BE'!$AB$6+'TE BF'!$AB$6+'TE CVA'!$AB$6)*1</f>
        <v>153.95741395122897</v>
      </c>
      <c r="AB2" s="4">
        <f>$K$2*$V$2</f>
        <v>0</v>
      </c>
      <c r="AC2" s="4">
        <f>$M$2*$W$2</f>
        <v>13823.774719999998</v>
      </c>
      <c r="AD2" s="4">
        <f>$O$2*$X$2</f>
        <v>33824.434560000002</v>
      </c>
      <c r="AE2" s="4">
        <f>$K$2*$Y$2</f>
        <v>0</v>
      </c>
      <c r="AF2" s="4">
        <f ca="1">$M$2*$Z$2</f>
        <v>19950.802272520541</v>
      </c>
      <c r="AG2" s="4">
        <f>$O$2*$AA$2</f>
        <v>31520.625102718812</v>
      </c>
      <c r="AI2" s="35" t="s">
        <v>35</v>
      </c>
      <c r="AJ2" s="36">
        <f>SUMIF($B$2:$B$345,AI2,$AB$2:$AB$345)+SUMIF($B$2:$B$345,AI2,$AC$2:$AC$345)</f>
        <v>2165870.3745713993</v>
      </c>
      <c r="AK2" s="36">
        <f ca="1">SUMIF($B$2:$B$345,AI2,$AE$2:$AE$345)+SUMIF($B$2:$B$345,AI2,$AF$2:$AF$345)</f>
        <v>2506071.1347191939</v>
      </c>
      <c r="AL2" s="37">
        <f t="shared" ref="AL2:AL9" ca="1" si="0">IF(AJ2&lt;&gt;0,AK2/AJ2-1,0)</f>
        <v>0.1570734630021966</v>
      </c>
      <c r="AN2" s="35" t="s">
        <v>35</v>
      </c>
      <c r="AO2" s="36">
        <f>SUMIF($B$2:$B$345,AN2,$AD$2:$AD$345)</f>
        <v>1289874.3292098001</v>
      </c>
      <c r="AP2" s="36">
        <f>SUMIF($B$2:$B$345,AN2,$AG$2:$AG$345)</f>
        <v>1202587.4854066232</v>
      </c>
      <c r="AQ2" s="37">
        <f t="shared" ref="AQ2:AQ9" si="1">IF(AO2&lt;&gt;0,AP2/AO2-1,0)</f>
        <v>-6.7670812440038475E-2</v>
      </c>
      <c r="AS2" s="35" t="s">
        <v>35</v>
      </c>
      <c r="AT2" s="36">
        <f>SUMIF($B$2:$B$345,AS2,$AB$2:$AB$345)+SUMIF($B$2:$B$345,AS2,$AC$2:$AC$345)+SUMIF($B$2:$B$345,AS2,$AD$2:$AD$345)</f>
        <v>3455744.7037811996</v>
      </c>
      <c r="AU2" s="36">
        <f ca="1">SUMIF($B$2:$B$345,AS2,$AE$2:$AE$345)+SUMIF($B$2:$B$345,AS2,$AF$2:$AF$345)+SUMIF($B$2:$B$345,AS2,$AG$2:$AG$345)</f>
        <v>3708658.6201258171</v>
      </c>
      <c r="AV2" s="37">
        <f t="shared" ref="AV2:AV9" ca="1" si="2">IF(AT2&lt;&gt;0,AU2/AT2-1,0)</f>
        <v>7.3186516373123567E-2</v>
      </c>
    </row>
    <row r="3" spans="1:48" ht="11.25" customHeight="1" x14ac:dyDescent="0.25">
      <c r="A3" s="3" t="s">
        <v>21</v>
      </c>
      <c r="B3" s="3" t="s">
        <v>35</v>
      </c>
      <c r="C3" s="3" t="s">
        <v>36</v>
      </c>
      <c r="D3" s="3" t="s">
        <v>39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44470</v>
      </c>
      <c r="J3" s="4">
        <v>0</v>
      </c>
      <c r="K3" s="4">
        <v>0</v>
      </c>
      <c r="L3" s="4">
        <v>190.821</v>
      </c>
      <c r="M3" s="4">
        <v>190.821</v>
      </c>
      <c r="N3" s="4">
        <v>190.821</v>
      </c>
      <c r="O3" s="4">
        <v>190.821</v>
      </c>
      <c r="P3" s="4">
        <v>0</v>
      </c>
      <c r="Q3" s="3" t="s">
        <v>26</v>
      </c>
      <c r="R3" s="3">
        <v>0</v>
      </c>
      <c r="S3" s="4">
        <v>0</v>
      </c>
      <c r="T3" s="4">
        <v>11</v>
      </c>
      <c r="U3" s="4">
        <v>56</v>
      </c>
      <c r="V3" s="4">
        <f>IF(ISERROR(VLOOKUP($S$3,'TAR FIN'!$A$1:$O$88,15,0)),0,VLOOKUP($S$3,'TAR FIN'!$A$1:$O$88,15,0))</f>
        <v>0</v>
      </c>
      <c r="W3" s="4">
        <f>IF(ISERROR(VLOOKUP($T$3,'TAR FIN'!$A$1:$O$88,15,0)),0,VLOOKUP($T$3,'TAR FIN'!$A$1:$O$88,15,0))</f>
        <v>67.52</v>
      </c>
      <c r="X3" s="4">
        <f>IF(ISERROR(VLOOKUP($U$3,'TAR FIN'!$A$1:$O$88,15,0)),0,VLOOKUP($U$3,'TAR FIN'!$A$1:$O$88,15,0))</f>
        <v>165.21</v>
      </c>
      <c r="Y3" s="4"/>
      <c r="Z3" s="4">
        <f ca="1">('TUSD BE'!$AM$12+'TUSD BF'!$AM$12+'TUSD CVA'!$AM$12)*1</f>
        <v>97.446478745899796</v>
      </c>
      <c r="AA3" s="4">
        <f>('TE BE'!$AB$6+'TE BF'!$AB$6+'TE CVA'!$AB$6)*1</f>
        <v>153.95741395122897</v>
      </c>
      <c r="AB3" s="4">
        <f>$K$3*$V$3</f>
        <v>0</v>
      </c>
      <c r="AC3" s="4">
        <f>$M$3*$W$3</f>
        <v>12884.233919999999</v>
      </c>
      <c r="AD3" s="4">
        <f>$O$3*$X$3</f>
        <v>31525.537410000001</v>
      </c>
      <c r="AE3" s="4">
        <f>$K$3*$Y$3</f>
        <v>0</v>
      </c>
      <c r="AF3" s="4">
        <f ca="1">$M$3*$Z$3</f>
        <v>18594.834520771346</v>
      </c>
      <c r="AG3" s="4">
        <f>$O$3*$AA$3</f>
        <v>29378.307687587465</v>
      </c>
      <c r="AI3" s="35" t="s">
        <v>22</v>
      </c>
      <c r="AJ3" s="36">
        <f>SUMIF($B$2:$B$345,AI3,$AB$2:$AB$345)+SUMIF($B$2:$B$345,AI3,$AC$2:$AC$345)</f>
        <v>5015686.4196700016</v>
      </c>
      <c r="AK3" s="36">
        <f ca="1">SUMIF($B$2:$B$345,AI3,$AE$2:$AE$345)+SUMIF($B$2:$B$345,AI3,$AF$2:$AF$345)</f>
        <v>5566088.3976989072</v>
      </c>
      <c r="AL3" s="37">
        <f t="shared" ca="1" si="0"/>
        <v>0.10973612223252149</v>
      </c>
      <c r="AN3" s="35" t="s">
        <v>22</v>
      </c>
      <c r="AO3" s="36">
        <f>SUMIF($B$2:$B$345,AN3,$AD$2:$AD$345)</f>
        <v>1752010.1050500004</v>
      </c>
      <c r="AP3" s="36">
        <f>SUMIF($B$2:$B$345,AN3,$AG$2:$AG$345)</f>
        <v>1632680.6861778479</v>
      </c>
      <c r="AQ3" s="37">
        <f t="shared" si="1"/>
        <v>-6.8110006060008943E-2</v>
      </c>
      <c r="AS3" s="35" t="s">
        <v>22</v>
      </c>
      <c r="AT3" s="36">
        <f>SUMIF($B$2:$B$345,AS3,$AB$2:$AB$345)+SUMIF($B$2:$B$345,AS3,$AC$2:$AC$345)+SUMIF($B$2:$B$345,AS3,$AD$2:$AD$345)</f>
        <v>6767696.524720002</v>
      </c>
      <c r="AU3" s="36">
        <f ca="1">SUMIF($B$2:$B$345,AS3,$AE$2:$AE$345)+SUMIF($B$2:$B$345,AS3,$AF$2:$AF$345)+SUMIF($B$2:$B$345,AS3,$AG$2:$AG$345)</f>
        <v>7198769.0838767551</v>
      </c>
      <c r="AV3" s="37">
        <f t="shared" ca="1" si="2"/>
        <v>6.3695610106363043E-2</v>
      </c>
    </row>
    <row r="4" spans="1:48" ht="11.25" customHeight="1" x14ac:dyDescent="0.25">
      <c r="A4" s="3" t="s">
        <v>21</v>
      </c>
      <c r="B4" s="3" t="s">
        <v>35</v>
      </c>
      <c r="C4" s="3" t="s">
        <v>36</v>
      </c>
      <c r="D4" s="3" t="s">
        <v>39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44501</v>
      </c>
      <c r="J4" s="4">
        <v>0</v>
      </c>
      <c r="K4" s="4">
        <v>0</v>
      </c>
      <c r="L4" s="4">
        <v>263.74299999999999</v>
      </c>
      <c r="M4" s="4">
        <v>263.74299999999999</v>
      </c>
      <c r="N4" s="4">
        <v>263.74299999999999</v>
      </c>
      <c r="O4" s="4">
        <v>263.74299999999999</v>
      </c>
      <c r="P4" s="4">
        <v>0</v>
      </c>
      <c r="Q4" s="3" t="s">
        <v>26</v>
      </c>
      <c r="R4" s="3">
        <v>0</v>
      </c>
      <c r="S4" s="4">
        <v>0</v>
      </c>
      <c r="T4" s="4">
        <v>11</v>
      </c>
      <c r="U4" s="4">
        <v>56</v>
      </c>
      <c r="V4" s="4">
        <f>IF(ISERROR(VLOOKUP($S$4,'TAR FIN'!$A$1:$O$88,15,0)),0,VLOOKUP($S$4,'TAR FIN'!$A$1:$O$88,15,0))</f>
        <v>0</v>
      </c>
      <c r="W4" s="4">
        <f>IF(ISERROR(VLOOKUP($T$4,'TAR FIN'!$A$1:$O$88,15,0)),0,VLOOKUP($T$4,'TAR FIN'!$A$1:$O$88,15,0))</f>
        <v>67.52</v>
      </c>
      <c r="X4" s="4">
        <f>IF(ISERROR(VLOOKUP($U$4,'TAR FIN'!$A$1:$O$88,15,0)),0,VLOOKUP($U$4,'TAR FIN'!$A$1:$O$88,15,0))</f>
        <v>165.21</v>
      </c>
      <c r="Y4" s="4"/>
      <c r="Z4" s="4">
        <f ca="1">('TUSD BE'!$AM$12+'TUSD BF'!$AM$12+'TUSD CVA'!$AM$12)*1</f>
        <v>97.446478745899796</v>
      </c>
      <c r="AA4" s="4">
        <f>('TE BE'!$AB$6+'TE BF'!$AB$6+'TE CVA'!$AB$6)*1</f>
        <v>153.95741395122897</v>
      </c>
      <c r="AB4" s="4">
        <f>$K$4*$V$4</f>
        <v>0</v>
      </c>
      <c r="AC4" s="4">
        <f>$M$4*$W$4</f>
        <v>17807.927359999998</v>
      </c>
      <c r="AD4" s="4">
        <f>$O$4*$X$4</f>
        <v>43572.981030000003</v>
      </c>
      <c r="AE4" s="4">
        <f>$K$4*$Y$4</f>
        <v>0</v>
      </c>
      <c r="AF4" s="4">
        <f ca="1">$M$4*$Z$4</f>
        <v>25700.826643879849</v>
      </c>
      <c r="AG4" s="4">
        <f>$O$4*$AA$4</f>
        <v>40605.190227738982</v>
      </c>
      <c r="AI4" s="35" t="s">
        <v>40</v>
      </c>
      <c r="AJ4" s="36">
        <f>SUMIF($B$2:$B$345,AI4,$AB$2:$AB$345)+SUMIF($B$2:$B$345,AI4,$AC$2:$AC$345)</f>
        <v>1369733.10907</v>
      </c>
      <c r="AK4" s="36">
        <f ca="1">SUMIF($B$2:$B$345,AI4,$AE$2:$AE$345)+SUMIF($B$2:$B$345,AI4,$AF$2:$AF$345)</f>
        <v>1628034.2849737899</v>
      </c>
      <c r="AL4" s="37">
        <f t="shared" ca="1" si="0"/>
        <v>0.18857774130842708</v>
      </c>
      <c r="AN4" s="35" t="s">
        <v>40</v>
      </c>
      <c r="AO4" s="36">
        <f>SUMIF($B$2:$B$345,AN4,$AD$2:$AD$345)</f>
        <v>475334.30261999997</v>
      </c>
      <c r="AP4" s="36">
        <f>SUMIF($B$2:$B$345,AN4,$AG$2:$AG$345)</f>
        <v>473176.2662956728</v>
      </c>
      <c r="AQ4" s="37">
        <f t="shared" si="1"/>
        <v>-4.5400391102268234E-3</v>
      </c>
      <c r="AS4" s="35" t="s">
        <v>40</v>
      </c>
      <c r="AT4" s="36">
        <f>SUMIF($B$2:$B$345,AS4,$AB$2:$AB$345)+SUMIF($B$2:$B$345,AS4,$AC$2:$AC$345)+SUMIF($B$2:$B$345,AS4,$AD$2:$AD$345)</f>
        <v>1845067.41169</v>
      </c>
      <c r="AU4" s="36">
        <f ca="1">SUMIF($B$2:$B$345,AS4,$AE$2:$AE$345)+SUMIF($B$2:$B$345,AS4,$AF$2:$AF$345)+SUMIF($B$2:$B$345,AS4,$AG$2:$AG$345)</f>
        <v>2101210.5512694628</v>
      </c>
      <c r="AV4" s="37">
        <f t="shared" ca="1" si="2"/>
        <v>0.13882589761034647</v>
      </c>
    </row>
    <row r="5" spans="1:48" ht="11.25" customHeight="1" x14ac:dyDescent="0.25">
      <c r="A5" s="3" t="s">
        <v>21</v>
      </c>
      <c r="B5" s="3" t="s">
        <v>35</v>
      </c>
      <c r="C5" s="3" t="s">
        <v>36</v>
      </c>
      <c r="D5" s="3" t="s">
        <v>39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44531</v>
      </c>
      <c r="J5" s="4">
        <v>0</v>
      </c>
      <c r="K5" s="4">
        <v>0</v>
      </c>
      <c r="L5" s="4">
        <v>256.03899999999999</v>
      </c>
      <c r="M5" s="4">
        <v>256.03899999999999</v>
      </c>
      <c r="N5" s="4">
        <v>256.03899999999999</v>
      </c>
      <c r="O5" s="4">
        <v>256.03899999999999</v>
      </c>
      <c r="P5" s="4">
        <v>0</v>
      </c>
      <c r="Q5" s="3" t="s">
        <v>26</v>
      </c>
      <c r="R5" s="3">
        <v>0</v>
      </c>
      <c r="S5" s="4">
        <v>0</v>
      </c>
      <c r="T5" s="4">
        <v>11</v>
      </c>
      <c r="U5" s="4">
        <v>56</v>
      </c>
      <c r="V5" s="4">
        <f>IF(ISERROR(VLOOKUP($S$5,'TAR FIN'!$A$1:$O$88,15,0)),0,VLOOKUP($S$5,'TAR FIN'!$A$1:$O$88,15,0))</f>
        <v>0</v>
      </c>
      <c r="W5" s="4">
        <f>IF(ISERROR(VLOOKUP($T$5,'TAR FIN'!$A$1:$O$88,15,0)),0,VLOOKUP($T$5,'TAR FIN'!$A$1:$O$88,15,0))</f>
        <v>67.52</v>
      </c>
      <c r="X5" s="4">
        <f>IF(ISERROR(VLOOKUP($U$5,'TAR FIN'!$A$1:$O$88,15,0)),0,VLOOKUP($U$5,'TAR FIN'!$A$1:$O$88,15,0))</f>
        <v>165.21</v>
      </c>
      <c r="Y5" s="4"/>
      <c r="Z5" s="4">
        <f ca="1">('TUSD BE'!$AM$12+'TUSD BF'!$AM$12+'TUSD CVA'!$AM$12)*1</f>
        <v>97.446478745899796</v>
      </c>
      <c r="AA5" s="4">
        <f>('TE BE'!$AB$6+'TE BF'!$AB$6+'TE CVA'!$AB$6)*1</f>
        <v>153.95741395122897</v>
      </c>
      <c r="AB5" s="4">
        <f>$K$5*$V$5</f>
        <v>0</v>
      </c>
      <c r="AC5" s="4">
        <f>$M$5*$W$5</f>
        <v>17287.753279999997</v>
      </c>
      <c r="AD5" s="4">
        <f>$O$5*$X$5</f>
        <v>42300.20319</v>
      </c>
      <c r="AE5" s="4">
        <f>$K$5*$Y$5</f>
        <v>0</v>
      </c>
      <c r="AF5" s="4">
        <f ca="1">$M$5*$Z$5</f>
        <v>24950.098971621435</v>
      </c>
      <c r="AG5" s="4">
        <f>$O$5*$AA$5</f>
        <v>39419.102310658716</v>
      </c>
      <c r="AI5" s="35" t="s">
        <v>33</v>
      </c>
      <c r="AJ5" s="36">
        <f>SUMIF($B$2:$B$345,AI5,$AB$2:$AB$345)+SUMIF($B$2:$B$345,AI5,$AC$2:$AC$345)</f>
        <v>2239958.0166235999</v>
      </c>
      <c r="AK5" s="36">
        <f ca="1">SUMIF($B$2:$B$345,AI5,$AE$2:$AE$345)+SUMIF($B$2:$B$345,AI5,$AF$2:$AF$345)</f>
        <v>2493969.9591951128</v>
      </c>
      <c r="AL5" s="37">
        <f t="shared" ca="1" si="0"/>
        <v>0.11340031406231343</v>
      </c>
      <c r="AN5" s="35" t="s">
        <v>33</v>
      </c>
      <c r="AO5" s="36">
        <f>SUMIF($B$2:$B$345,AN5,$AD$2:$AD$345)</f>
        <v>777346.26712260023</v>
      </c>
      <c r="AP5" s="36">
        <f>SUMIF($B$2:$B$345,AN5,$AG$2:$AG$345)</f>
        <v>724854.14124095929</v>
      </c>
      <c r="AQ5" s="37">
        <f t="shared" si="1"/>
        <v>-6.7527340262331315E-2</v>
      </c>
      <c r="AS5" s="35" t="s">
        <v>33</v>
      </c>
      <c r="AT5" s="36">
        <f>SUMIF($B$2:$B$345,AS5,$AB$2:$AB$345)+SUMIF($B$2:$B$345,AS5,$AC$2:$AC$345)+SUMIF($B$2:$B$345,AS5,$AD$2:$AD$345)</f>
        <v>3017304.2837462001</v>
      </c>
      <c r="AU5" s="36">
        <f ca="1">SUMIF($B$2:$B$345,AS5,$AE$2:$AE$345)+SUMIF($B$2:$B$345,AS5,$AF$2:$AF$345)+SUMIF($B$2:$B$345,AS5,$AG$2:$AG$345)</f>
        <v>3218824.1004360719</v>
      </c>
      <c r="AV5" s="37">
        <f t="shared" ca="1" si="2"/>
        <v>6.6788032541308828E-2</v>
      </c>
    </row>
    <row r="6" spans="1:48" ht="11.25" customHeight="1" x14ac:dyDescent="0.25">
      <c r="A6" s="3" t="s">
        <v>21</v>
      </c>
      <c r="B6" s="3" t="s">
        <v>35</v>
      </c>
      <c r="C6" s="3" t="s">
        <v>36</v>
      </c>
      <c r="D6" s="3" t="s">
        <v>39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44562</v>
      </c>
      <c r="J6" s="4">
        <v>0</v>
      </c>
      <c r="K6" s="4">
        <v>0</v>
      </c>
      <c r="L6" s="4">
        <v>370.37299999999999</v>
      </c>
      <c r="M6" s="4">
        <v>370.37299999999999</v>
      </c>
      <c r="N6" s="4">
        <v>370.37299999999999</v>
      </c>
      <c r="O6" s="4">
        <v>370.37299999999999</v>
      </c>
      <c r="P6" s="4">
        <v>0</v>
      </c>
      <c r="Q6" s="3" t="s">
        <v>26</v>
      </c>
      <c r="R6" s="3">
        <v>0</v>
      </c>
      <c r="S6" s="4">
        <v>0</v>
      </c>
      <c r="T6" s="4">
        <v>11</v>
      </c>
      <c r="U6" s="4">
        <v>56</v>
      </c>
      <c r="V6" s="4">
        <f>IF(ISERROR(VLOOKUP($S$6,'TAR FIN'!$A$1:$O$88,15,0)),0,VLOOKUP($S$6,'TAR FIN'!$A$1:$O$88,15,0))</f>
        <v>0</v>
      </c>
      <c r="W6" s="4">
        <f>IF(ISERROR(VLOOKUP($T$6,'TAR FIN'!$A$1:$O$88,15,0)),0,VLOOKUP($T$6,'TAR FIN'!$A$1:$O$88,15,0))</f>
        <v>67.52</v>
      </c>
      <c r="X6" s="4">
        <f>IF(ISERROR(VLOOKUP($U$6,'TAR FIN'!$A$1:$O$88,15,0)),0,VLOOKUP($U$6,'TAR FIN'!$A$1:$O$88,15,0))</f>
        <v>165.21</v>
      </c>
      <c r="Y6" s="4"/>
      <c r="Z6" s="4">
        <f ca="1">('TUSD BE'!$AM$12+'TUSD BF'!$AM$12+'TUSD CVA'!$AM$12)*1</f>
        <v>97.446478745899796</v>
      </c>
      <c r="AA6" s="4">
        <f>('TE BE'!$AB$6+'TE BF'!$AB$6+'TE CVA'!$AB$6)*1</f>
        <v>153.95741395122897</v>
      </c>
      <c r="AB6" s="4">
        <f>$K$6*$V$6</f>
        <v>0</v>
      </c>
      <c r="AC6" s="4">
        <f>$M$6*$W$6</f>
        <v>25007.584959999996</v>
      </c>
      <c r="AD6" s="4">
        <f>$O$6*$X$6</f>
        <v>61189.323329999999</v>
      </c>
      <c r="AE6" s="4">
        <f>$K$6*$Y$6</f>
        <v>0</v>
      </c>
      <c r="AF6" s="4">
        <f ca="1">$M$6*$Z$6</f>
        <v>36091.544672555145</v>
      </c>
      <c r="AG6" s="4">
        <f>$O$6*$AA$6</f>
        <v>57021.669277358524</v>
      </c>
      <c r="AI6" s="35" t="s">
        <v>43</v>
      </c>
      <c r="AJ6" s="36">
        <f>SUMIF($B$2:$B$345,AI6,$AB$2:$AB$345)+SUMIF($B$2:$B$345,AI6,$AC$2:$AC$345)</f>
        <v>512237.7006199999</v>
      </c>
      <c r="AK6" s="36">
        <f ca="1">SUMIF($B$2:$B$345,AI6,$AE$2:$AE$345)+SUMIF($B$2:$B$345,AI6,$AF$2:$AF$345)</f>
        <v>569975.27286327875</v>
      </c>
      <c r="AL6" s="37">
        <f t="shared" ca="1" si="0"/>
        <v>0.11271636619755765</v>
      </c>
      <c r="AN6" s="35" t="s">
        <v>43</v>
      </c>
      <c r="AO6" s="36">
        <f>SUMIF($B$2:$B$345,AN6,$AD$2:$AD$345)</f>
        <v>177756.24076000004</v>
      </c>
      <c r="AP6" s="36">
        <f>SUMIF($B$2:$B$345,AN6,$AG$2:$AG$345)</f>
        <v>165659.14734323029</v>
      </c>
      <c r="AQ6" s="37">
        <f t="shared" si="1"/>
        <v>-6.8054394968347753E-2</v>
      </c>
      <c r="AS6" s="35" t="s">
        <v>43</v>
      </c>
      <c r="AT6" s="36">
        <f>SUMIF($B$2:$B$345,AS6,$AB$2:$AB$345)+SUMIF($B$2:$B$345,AS6,$AC$2:$AC$345)+SUMIF($B$2:$B$345,AS6,$AD$2:$AD$345)</f>
        <v>689993.94137999997</v>
      </c>
      <c r="AU6" s="36">
        <f ca="1">SUMIF($B$2:$B$345,AS6,$AE$2:$AE$345)+SUMIF($B$2:$B$345,AS6,$AF$2:$AF$345)+SUMIF($B$2:$B$345,AS6,$AG$2:$AG$345)</f>
        <v>735634.42020650906</v>
      </c>
      <c r="AV6" s="37">
        <f t="shared" ca="1" si="2"/>
        <v>6.6146202291613276E-2</v>
      </c>
    </row>
    <row r="7" spans="1:48" ht="11.25" customHeight="1" x14ac:dyDescent="0.25">
      <c r="A7" s="3" t="s">
        <v>21</v>
      </c>
      <c r="B7" s="3" t="s">
        <v>35</v>
      </c>
      <c r="C7" s="3" t="s">
        <v>36</v>
      </c>
      <c r="D7" s="3" t="s">
        <v>39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44593</v>
      </c>
      <c r="J7" s="4">
        <v>0</v>
      </c>
      <c r="K7" s="4">
        <v>0</v>
      </c>
      <c r="L7" s="4">
        <v>223.58099999999999</v>
      </c>
      <c r="M7" s="4">
        <v>223.58099999999999</v>
      </c>
      <c r="N7" s="4">
        <v>223.58099999999999</v>
      </c>
      <c r="O7" s="4">
        <v>223.58099999999999</v>
      </c>
      <c r="P7" s="4">
        <v>0</v>
      </c>
      <c r="Q7" s="3" t="s">
        <v>26</v>
      </c>
      <c r="R7" s="3">
        <v>0</v>
      </c>
      <c r="S7" s="4">
        <v>0</v>
      </c>
      <c r="T7" s="4">
        <v>11</v>
      </c>
      <c r="U7" s="4">
        <v>56</v>
      </c>
      <c r="V7" s="4">
        <f>IF(ISERROR(VLOOKUP($S$7,'TAR FIN'!$A$1:$O$88,15,0)),0,VLOOKUP($S$7,'TAR FIN'!$A$1:$O$88,15,0))</f>
        <v>0</v>
      </c>
      <c r="W7" s="4">
        <f>IF(ISERROR(VLOOKUP($T$7,'TAR FIN'!$A$1:$O$88,15,0)),0,VLOOKUP($T$7,'TAR FIN'!$A$1:$O$88,15,0))</f>
        <v>67.52</v>
      </c>
      <c r="X7" s="4">
        <f>IF(ISERROR(VLOOKUP($U$7,'TAR FIN'!$A$1:$O$88,15,0)),0,VLOOKUP($U$7,'TAR FIN'!$A$1:$O$88,15,0))</f>
        <v>165.21</v>
      </c>
      <c r="Y7" s="4"/>
      <c r="Z7" s="4">
        <f ca="1">('TUSD BE'!$AM$12+'TUSD BF'!$AM$12+'TUSD CVA'!$AM$12)*1</f>
        <v>97.446478745899796</v>
      </c>
      <c r="AA7" s="4">
        <f>('TE BE'!$AB$6+'TE BF'!$AB$6+'TE CVA'!$AB$6)*1</f>
        <v>153.95741395122897</v>
      </c>
      <c r="AB7" s="4">
        <f>$K$7*$V$7</f>
        <v>0</v>
      </c>
      <c r="AC7" s="4">
        <f>$M$7*$W$7</f>
        <v>15096.189119999999</v>
      </c>
      <c r="AD7" s="4">
        <f>$O$7*$X$7</f>
        <v>36937.817009999999</v>
      </c>
      <c r="AE7" s="4">
        <f>$K$7*$Y$7</f>
        <v>0</v>
      </c>
      <c r="AF7" s="4">
        <f ca="1">$M$7*$Z$7</f>
        <v>21787.181164487021</v>
      </c>
      <c r="AG7" s="4">
        <f>$O$7*$AA$7</f>
        <v>34421.95256862972</v>
      </c>
      <c r="AI7" s="35" t="s">
        <v>532</v>
      </c>
      <c r="AJ7" s="36">
        <f>+$AJ$2</f>
        <v>2165870.3745713993</v>
      </c>
      <c r="AK7" s="36">
        <f ca="1">+$AK$2</f>
        <v>2506071.1347191939</v>
      </c>
      <c r="AL7" s="37">
        <f t="shared" ca="1" si="0"/>
        <v>0.1570734630021966</v>
      </c>
      <c r="AN7" s="35" t="s">
        <v>532</v>
      </c>
      <c r="AO7" s="36">
        <f>+$AO$2</f>
        <v>1289874.3292098001</v>
      </c>
      <c r="AP7" s="36">
        <f>+$AP$2</f>
        <v>1202587.4854066232</v>
      </c>
      <c r="AQ7" s="37">
        <f t="shared" si="1"/>
        <v>-6.7670812440038475E-2</v>
      </c>
      <c r="AS7" s="35" t="s">
        <v>532</v>
      </c>
      <c r="AT7" s="36">
        <f>+$AT$2</f>
        <v>3455744.7037811996</v>
      </c>
      <c r="AU7" s="36">
        <f ca="1">+$AU$2</f>
        <v>3708658.6201258171</v>
      </c>
      <c r="AV7" s="37">
        <f t="shared" ca="1" si="2"/>
        <v>7.3186516373123567E-2</v>
      </c>
    </row>
    <row r="8" spans="1:48" ht="11.25" customHeight="1" x14ac:dyDescent="0.25">
      <c r="A8" s="3" t="s">
        <v>21</v>
      </c>
      <c r="B8" s="3" t="s">
        <v>35</v>
      </c>
      <c r="C8" s="3" t="s">
        <v>36</v>
      </c>
      <c r="D8" s="3" t="s">
        <v>39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44621</v>
      </c>
      <c r="J8" s="4">
        <v>0</v>
      </c>
      <c r="K8" s="4">
        <v>0</v>
      </c>
      <c r="L8" s="4">
        <v>280.32499999999999</v>
      </c>
      <c r="M8" s="4">
        <v>280.32499999999999</v>
      </c>
      <c r="N8" s="4">
        <v>280.32499999999999</v>
      </c>
      <c r="O8" s="4">
        <v>280.32499999999999</v>
      </c>
      <c r="P8" s="4">
        <v>0</v>
      </c>
      <c r="Q8" s="3" t="s">
        <v>26</v>
      </c>
      <c r="R8" s="3">
        <v>0</v>
      </c>
      <c r="S8" s="4">
        <v>0</v>
      </c>
      <c r="T8" s="4">
        <v>11</v>
      </c>
      <c r="U8" s="4">
        <v>56</v>
      </c>
      <c r="V8" s="4">
        <f>IF(ISERROR(VLOOKUP($S$8,'TAR FIN'!$A$1:$O$88,15,0)),0,VLOOKUP($S$8,'TAR FIN'!$A$1:$O$88,15,0))</f>
        <v>0</v>
      </c>
      <c r="W8" s="4">
        <f>IF(ISERROR(VLOOKUP($T$8,'TAR FIN'!$A$1:$O$88,15,0)),0,VLOOKUP($T$8,'TAR FIN'!$A$1:$O$88,15,0))</f>
        <v>67.52</v>
      </c>
      <c r="X8" s="4">
        <f>IF(ISERROR(VLOOKUP($U$8,'TAR FIN'!$A$1:$O$88,15,0)),0,VLOOKUP($U$8,'TAR FIN'!$A$1:$O$88,15,0))</f>
        <v>165.21</v>
      </c>
      <c r="Y8" s="4"/>
      <c r="Z8" s="4">
        <f ca="1">('TUSD BE'!$AM$12+'TUSD BF'!$AM$12+'TUSD CVA'!$AM$12)*1</f>
        <v>97.446478745899796</v>
      </c>
      <c r="AA8" s="4">
        <f>('TE BE'!$AB$6+'TE BF'!$AB$6+'TE CVA'!$AB$6)*1</f>
        <v>153.95741395122897</v>
      </c>
      <c r="AB8" s="4">
        <f>$K$8*$V$8</f>
        <v>0</v>
      </c>
      <c r="AC8" s="4">
        <f>$M$8*$W$8</f>
        <v>18927.543999999998</v>
      </c>
      <c r="AD8" s="4">
        <f>$O$8*$X$8</f>
        <v>46312.49325</v>
      </c>
      <c r="AE8" s="4">
        <f>$K$8*$Y$8</f>
        <v>0</v>
      </c>
      <c r="AF8" s="4">
        <f ca="1">$M$8*$Z$8</f>
        <v>27316.68415444436</v>
      </c>
      <c r="AG8" s="4">
        <f>$O$8*$AA$8</f>
        <v>43158.11206587826</v>
      </c>
      <c r="AI8" s="35" t="s">
        <v>80</v>
      </c>
      <c r="AJ8" s="36">
        <f>+$AJ$3+$AJ$4+$AJ$5+$AJ$6</f>
        <v>9137615.2459836006</v>
      </c>
      <c r="AK8" s="36">
        <f ca="1">+$AK$3+$AK$4+$AK$5+$AK$6</f>
        <v>10258067.914731087</v>
      </c>
      <c r="AL8" s="37">
        <f t="shared" ca="1" si="0"/>
        <v>0.12261981256433141</v>
      </c>
      <c r="AN8" s="35" t="s">
        <v>80</v>
      </c>
      <c r="AO8" s="36">
        <f>+$AO$3+$AO$4+$AO$5+$AO$6</f>
        <v>3182446.9155526008</v>
      </c>
      <c r="AP8" s="36">
        <f>+$AP$3+$AP$4+$AP$5+$AP$6</f>
        <v>2996370.2410577107</v>
      </c>
      <c r="AQ8" s="37">
        <f t="shared" si="1"/>
        <v>-5.8469686826678635E-2</v>
      </c>
      <c r="AS8" s="35" t="s">
        <v>80</v>
      </c>
      <c r="AT8" s="36">
        <f>+$AT$3+$AT$4+$AT$5+$AT$6</f>
        <v>12320062.161536202</v>
      </c>
      <c r="AU8" s="36">
        <f ca="1">+$AU$3+$AU$4+$AU$5+$AU$6</f>
        <v>13254438.155788798</v>
      </c>
      <c r="AV8" s="37">
        <f t="shared" ca="1" si="2"/>
        <v>7.5841824659761858E-2</v>
      </c>
    </row>
    <row r="9" spans="1:48" ht="11.25" customHeight="1" x14ac:dyDescent="0.25">
      <c r="A9" s="3" t="s">
        <v>21</v>
      </c>
      <c r="B9" s="3" t="s">
        <v>35</v>
      </c>
      <c r="C9" s="3" t="s">
        <v>36</v>
      </c>
      <c r="D9" s="3" t="s">
        <v>39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44652</v>
      </c>
      <c r="J9" s="4">
        <v>0</v>
      </c>
      <c r="K9" s="4">
        <v>0</v>
      </c>
      <c r="L9" s="4">
        <v>200.477</v>
      </c>
      <c r="M9" s="4">
        <v>200.477</v>
      </c>
      <c r="N9" s="4">
        <v>200.477</v>
      </c>
      <c r="O9" s="4">
        <v>200.477</v>
      </c>
      <c r="P9" s="4">
        <v>0</v>
      </c>
      <c r="Q9" s="3" t="s">
        <v>26</v>
      </c>
      <c r="R9" s="3">
        <v>0</v>
      </c>
      <c r="S9" s="4">
        <v>0</v>
      </c>
      <c r="T9" s="4">
        <v>11</v>
      </c>
      <c r="U9" s="4">
        <v>56</v>
      </c>
      <c r="V9" s="4">
        <f>IF(ISERROR(VLOOKUP($S$9,'TAR FIN'!$A$1:$O$88,15,0)),0,VLOOKUP($S$9,'TAR FIN'!$A$1:$O$88,15,0))</f>
        <v>0</v>
      </c>
      <c r="W9" s="4">
        <f>IF(ISERROR(VLOOKUP($T$9,'TAR FIN'!$A$1:$O$88,15,0)),0,VLOOKUP($T$9,'TAR FIN'!$A$1:$O$88,15,0))</f>
        <v>67.52</v>
      </c>
      <c r="X9" s="4">
        <f>IF(ISERROR(VLOOKUP($U$9,'TAR FIN'!$A$1:$O$88,15,0)),0,VLOOKUP($U$9,'TAR FIN'!$A$1:$O$88,15,0))</f>
        <v>165.21</v>
      </c>
      <c r="Y9" s="4"/>
      <c r="Z9" s="4">
        <f ca="1">('TUSD BE'!$AM$12+'TUSD BF'!$AM$12+'TUSD CVA'!$AM$12)*1</f>
        <v>97.446478745899796</v>
      </c>
      <c r="AA9" s="4">
        <f>('TE BE'!$AB$6+'TE BF'!$AB$6+'TE CVA'!$AB$6)*1</f>
        <v>153.95741395122897</v>
      </c>
      <c r="AB9" s="4">
        <f>$K$9*$V$9</f>
        <v>0</v>
      </c>
      <c r="AC9" s="4">
        <f>$M$9*$W$9</f>
        <v>13536.207039999999</v>
      </c>
      <c r="AD9" s="4">
        <f>$O$9*$X$9</f>
        <v>33120.80517</v>
      </c>
      <c r="AE9" s="4">
        <f>$K$9*$Y$9</f>
        <v>0</v>
      </c>
      <c r="AF9" s="4">
        <f ca="1">$M$9*$Z$9</f>
        <v>19535.777719541755</v>
      </c>
      <c r="AG9" s="4">
        <f>$O$9*$AA$9</f>
        <v>30864.920476700532</v>
      </c>
      <c r="AI9" s="35" t="s">
        <v>533</v>
      </c>
      <c r="AJ9" s="36">
        <f>AJ8+AJ7</f>
        <v>11303485.620555</v>
      </c>
      <c r="AK9" s="36">
        <f ca="1">AK8+AK7</f>
        <v>12764139.049450282</v>
      </c>
      <c r="AL9" s="37">
        <f t="shared" ca="1" si="0"/>
        <v>0.12922150546545863</v>
      </c>
      <c r="AN9" s="35" t="s">
        <v>533</v>
      </c>
      <c r="AO9" s="36">
        <f>AO8+AO7</f>
        <v>4472321.2447624011</v>
      </c>
      <c r="AP9" s="36">
        <f>AP8+AP7</f>
        <v>4198957.7264643339</v>
      </c>
      <c r="AQ9" s="37">
        <f t="shared" si="1"/>
        <v>-6.112340848015041E-2</v>
      </c>
      <c r="AS9" s="35" t="s">
        <v>533</v>
      </c>
      <c r="AT9" s="36">
        <f>AT8+AT7</f>
        <v>15775806.865317401</v>
      </c>
      <c r="AU9" s="36">
        <f ca="1">AU8+AU7</f>
        <v>16963096.775914617</v>
      </c>
      <c r="AV9" s="37">
        <f t="shared" ca="1" si="2"/>
        <v>7.5260170255217584E-2</v>
      </c>
    </row>
    <row r="10" spans="1:48" ht="11.25" customHeight="1" x14ac:dyDescent="0.25">
      <c r="A10" s="3" t="s">
        <v>21</v>
      </c>
      <c r="B10" s="3" t="s">
        <v>35</v>
      </c>
      <c r="C10" s="3" t="s">
        <v>36</v>
      </c>
      <c r="D10" s="3" t="s">
        <v>39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0</v>
      </c>
      <c r="K10" s="4">
        <v>0</v>
      </c>
      <c r="L10" s="4">
        <v>191.83500000000001</v>
      </c>
      <c r="M10" s="4">
        <v>191.83500000000001</v>
      </c>
      <c r="N10" s="4">
        <v>191.83500000000001</v>
      </c>
      <c r="O10" s="4">
        <v>191.83500000000001</v>
      </c>
      <c r="P10" s="4">
        <v>0</v>
      </c>
      <c r="Q10" s="3" t="s">
        <v>26</v>
      </c>
      <c r="R10" s="3">
        <v>0</v>
      </c>
      <c r="S10" s="4">
        <v>0</v>
      </c>
      <c r="T10" s="4">
        <v>11</v>
      </c>
      <c r="U10" s="4">
        <v>56</v>
      </c>
      <c r="V10" s="4">
        <f>IF(ISERROR(VLOOKUP($S$10,'TAR FIN'!$A$1:$O$88,15,0)),0,VLOOKUP($S$10,'TAR FIN'!$A$1:$O$88,15,0))</f>
        <v>0</v>
      </c>
      <c r="W10" s="4">
        <f>IF(ISERROR(VLOOKUP($T$10,'TAR FIN'!$A$1:$O$88,15,0)),0,VLOOKUP($T$10,'TAR FIN'!$A$1:$O$88,15,0))</f>
        <v>67.52</v>
      </c>
      <c r="X10" s="4">
        <f>IF(ISERROR(VLOOKUP($U$10,'TAR FIN'!$A$1:$O$88,15,0)),0,VLOOKUP($U$10,'TAR FIN'!$A$1:$O$88,15,0))</f>
        <v>165.21</v>
      </c>
      <c r="Y10" s="4"/>
      <c r="Z10" s="4">
        <f ca="1">('TUSD BE'!$AM$12+'TUSD BF'!$AM$12+'TUSD CVA'!$AM$12)*1</f>
        <v>97.446478745899796</v>
      </c>
      <c r="AA10" s="4">
        <f>('TE BE'!$AB$6+'TE BF'!$AB$6+'TE CVA'!$AB$6)*1</f>
        <v>153.95741395122897</v>
      </c>
      <c r="AB10" s="4">
        <f>$K$10*$V$10</f>
        <v>0</v>
      </c>
      <c r="AC10" s="4">
        <f>$M$10*$W$10</f>
        <v>12952.699199999999</v>
      </c>
      <c r="AD10" s="4">
        <f>$O$10*$X$10</f>
        <v>31693.060350000003</v>
      </c>
      <c r="AE10" s="4">
        <f>$K$10*$Y$10</f>
        <v>0</v>
      </c>
      <c r="AF10" s="4">
        <f ca="1">$M$10*$Z$10</f>
        <v>18693.645250219688</v>
      </c>
      <c r="AG10" s="4">
        <f>$O$10*$AA$10</f>
        <v>29534.420505334012</v>
      </c>
    </row>
    <row r="11" spans="1:48" ht="11.25" customHeight="1" x14ac:dyDescent="0.25">
      <c r="A11" s="3" t="s">
        <v>21</v>
      </c>
      <c r="B11" s="3" t="s">
        <v>35</v>
      </c>
      <c r="C11" s="3" t="s">
        <v>36</v>
      </c>
      <c r="D11" s="3" t="s">
        <v>39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0</v>
      </c>
      <c r="K11" s="4">
        <v>0</v>
      </c>
      <c r="L11" s="4">
        <v>183.50299999999999</v>
      </c>
      <c r="M11" s="4">
        <v>183.50299999999999</v>
      </c>
      <c r="N11" s="4">
        <v>183.50299999999999</v>
      </c>
      <c r="O11" s="4">
        <v>183.50299999999999</v>
      </c>
      <c r="P11" s="4">
        <v>0</v>
      </c>
      <c r="Q11" s="3" t="s">
        <v>26</v>
      </c>
      <c r="R11" s="3">
        <v>0</v>
      </c>
      <c r="S11" s="4">
        <v>0</v>
      </c>
      <c r="T11" s="4">
        <v>11</v>
      </c>
      <c r="U11" s="4">
        <v>56</v>
      </c>
      <c r="V11" s="4">
        <f>IF(ISERROR(VLOOKUP($S$11,'TAR FIN'!$A$1:$O$88,15,0)),0,VLOOKUP($S$11,'TAR FIN'!$A$1:$O$88,15,0))</f>
        <v>0</v>
      </c>
      <c r="W11" s="4">
        <f>IF(ISERROR(VLOOKUP($T$11,'TAR FIN'!$A$1:$O$88,15,0)),0,VLOOKUP($T$11,'TAR FIN'!$A$1:$O$88,15,0))</f>
        <v>67.52</v>
      </c>
      <c r="X11" s="4">
        <f>IF(ISERROR(VLOOKUP($U$11,'TAR FIN'!$A$1:$O$88,15,0)),0,VLOOKUP($U$11,'TAR FIN'!$A$1:$O$88,15,0))</f>
        <v>165.21</v>
      </c>
      <c r="Y11" s="4"/>
      <c r="Z11" s="4">
        <f ca="1">('TUSD BE'!$AM$12+'TUSD BF'!$AM$12+'TUSD CVA'!$AM$12)*1</f>
        <v>97.446478745899796</v>
      </c>
      <c r="AA11" s="4">
        <f>('TE BE'!$AB$6+'TE BF'!$AB$6+'TE CVA'!$AB$6)*1</f>
        <v>153.95741395122897</v>
      </c>
      <c r="AB11" s="4">
        <f>$K$11*$V$11</f>
        <v>0</v>
      </c>
      <c r="AC11" s="4">
        <f>$M$11*$W$11</f>
        <v>12390.122559999998</v>
      </c>
      <c r="AD11" s="4">
        <f>$O$11*$X$11</f>
        <v>30316.530629999997</v>
      </c>
      <c r="AE11" s="4">
        <f>$K$11*$Y$11</f>
        <v>0</v>
      </c>
      <c r="AF11" s="4">
        <f ca="1">$M$11*$Z$11</f>
        <v>17881.72118930885</v>
      </c>
      <c r="AG11" s="4">
        <f>$O$11*$AA$11</f>
        <v>28251.647332292367</v>
      </c>
    </row>
    <row r="12" spans="1:48" ht="11.25" customHeight="1" x14ac:dyDescent="0.25">
      <c r="A12" s="3" t="s">
        <v>21</v>
      </c>
      <c r="B12" s="3" t="s">
        <v>35</v>
      </c>
      <c r="C12" s="3" t="s">
        <v>36</v>
      </c>
      <c r="D12" s="3" t="s">
        <v>39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0</v>
      </c>
      <c r="K12" s="4">
        <v>0</v>
      </c>
      <c r="L12" s="4">
        <v>212.19900000000001</v>
      </c>
      <c r="M12" s="4">
        <v>212.19900000000001</v>
      </c>
      <c r="N12" s="4">
        <v>212.19900000000001</v>
      </c>
      <c r="O12" s="4">
        <v>212.19900000000001</v>
      </c>
      <c r="P12" s="4">
        <v>0</v>
      </c>
      <c r="Q12" s="3" t="s">
        <v>26</v>
      </c>
      <c r="R12" s="3">
        <v>0</v>
      </c>
      <c r="S12" s="4">
        <v>0</v>
      </c>
      <c r="T12" s="4">
        <v>11</v>
      </c>
      <c r="U12" s="4">
        <v>56</v>
      </c>
      <c r="V12" s="4">
        <f>IF(ISERROR(VLOOKUP($S$12,'TAR FIN'!$A$1:$O$88,15,0)),0,VLOOKUP($S$12,'TAR FIN'!$A$1:$O$88,15,0))</f>
        <v>0</v>
      </c>
      <c r="W12" s="4">
        <f>IF(ISERROR(VLOOKUP($T$12,'TAR FIN'!$A$1:$O$88,15,0)),0,VLOOKUP($T$12,'TAR FIN'!$A$1:$O$88,15,0))</f>
        <v>67.52</v>
      </c>
      <c r="X12" s="4">
        <f>IF(ISERROR(VLOOKUP($U$12,'TAR FIN'!$A$1:$O$88,15,0)),0,VLOOKUP($U$12,'TAR FIN'!$A$1:$O$88,15,0))</f>
        <v>165.21</v>
      </c>
      <c r="Y12" s="4"/>
      <c r="Z12" s="4">
        <f ca="1">('TUSD BE'!$AM$12+'TUSD BF'!$AM$12+'TUSD CVA'!$AM$12)*1</f>
        <v>97.446478745899796</v>
      </c>
      <c r="AA12" s="4">
        <f>('TE BE'!$AB$6+'TE BF'!$AB$6+'TE CVA'!$AB$6)*1</f>
        <v>153.95741395122897</v>
      </c>
      <c r="AB12" s="4">
        <f>$K$12*$V$12</f>
        <v>0</v>
      </c>
      <c r="AC12" s="4">
        <f>$M$12*$W$12</f>
        <v>14327.67648</v>
      </c>
      <c r="AD12" s="4">
        <f>$O$12*$X$12</f>
        <v>35057.396790000006</v>
      </c>
      <c r="AE12" s="4">
        <f>$K$12*$Y$12</f>
        <v>0</v>
      </c>
      <c r="AF12" s="4">
        <f ca="1">$M$12*$Z$12</f>
        <v>20678.045343401191</v>
      </c>
      <c r="AG12" s="4">
        <f>$O$12*$AA$12</f>
        <v>32669.60928303684</v>
      </c>
    </row>
    <row r="13" spans="1:48" ht="11.25" customHeight="1" x14ac:dyDescent="0.25">
      <c r="A13" s="3" t="s">
        <v>21</v>
      </c>
      <c r="B13" s="3" t="s">
        <v>35</v>
      </c>
      <c r="C13" s="3" t="s">
        <v>36</v>
      </c>
      <c r="D13" s="3" t="s">
        <v>39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0</v>
      </c>
      <c r="K13" s="4">
        <v>0</v>
      </c>
      <c r="L13" s="4">
        <v>227.774</v>
      </c>
      <c r="M13" s="4">
        <v>227.774</v>
      </c>
      <c r="N13" s="4">
        <v>227.774</v>
      </c>
      <c r="O13" s="4">
        <v>227.774</v>
      </c>
      <c r="P13" s="4">
        <v>0</v>
      </c>
      <c r="Q13" s="3" t="s">
        <v>26</v>
      </c>
      <c r="R13" s="3">
        <v>0</v>
      </c>
      <c r="S13" s="4">
        <v>0</v>
      </c>
      <c r="T13" s="4">
        <v>11</v>
      </c>
      <c r="U13" s="4">
        <v>56</v>
      </c>
      <c r="V13" s="4">
        <f>IF(ISERROR(VLOOKUP($S$13,'TAR FIN'!$A$1:$O$88,15,0)),0,VLOOKUP($S$13,'TAR FIN'!$A$1:$O$88,15,0))</f>
        <v>0</v>
      </c>
      <c r="W13" s="4">
        <f>IF(ISERROR(VLOOKUP($T$13,'TAR FIN'!$A$1:$O$88,15,0)),0,VLOOKUP($T$13,'TAR FIN'!$A$1:$O$88,15,0))</f>
        <v>67.52</v>
      </c>
      <c r="X13" s="4">
        <f>IF(ISERROR(VLOOKUP($U$13,'TAR FIN'!$A$1:$O$88,15,0)),0,VLOOKUP($U$13,'TAR FIN'!$A$1:$O$88,15,0))</f>
        <v>165.21</v>
      </c>
      <c r="Y13" s="4"/>
      <c r="Z13" s="4">
        <f ca="1">('TUSD BE'!$AM$12+'TUSD BF'!$AM$12+'TUSD CVA'!$AM$12)*1</f>
        <v>97.446478745899796</v>
      </c>
      <c r="AA13" s="4">
        <f>('TE BE'!$AB$6+'TE BF'!$AB$6+'TE CVA'!$AB$6)*1</f>
        <v>153.95741395122897</v>
      </c>
      <c r="AB13" s="4">
        <f>$K$13*$V$13</f>
        <v>0</v>
      </c>
      <c r="AC13" s="4">
        <f>$M$13*$W$13</f>
        <v>15379.30048</v>
      </c>
      <c r="AD13" s="4">
        <f>$O$13*$X$13</f>
        <v>37630.542540000002</v>
      </c>
      <c r="AE13" s="4">
        <f>$K$13*$Y$13</f>
        <v>0</v>
      </c>
      <c r="AF13" s="4">
        <f ca="1">$M$13*$Z$13</f>
        <v>22195.77424986858</v>
      </c>
      <c r="AG13" s="4">
        <f>$O$13*$AA$13</f>
        <v>35067.49600532723</v>
      </c>
    </row>
    <row r="14" spans="1:48" ht="11.25" customHeight="1" x14ac:dyDescent="0.25">
      <c r="A14" s="3" t="s">
        <v>21</v>
      </c>
      <c r="B14" s="3" t="s">
        <v>35</v>
      </c>
      <c r="C14" s="3" t="s">
        <v>36</v>
      </c>
      <c r="D14" s="3" t="s">
        <v>39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44440</v>
      </c>
      <c r="J14" s="4">
        <v>718</v>
      </c>
      <c r="K14" s="4">
        <v>718</v>
      </c>
      <c r="L14" s="4">
        <v>0</v>
      </c>
      <c r="M14" s="4">
        <v>0</v>
      </c>
      <c r="N14" s="4">
        <v>0</v>
      </c>
      <c r="O14" s="4">
        <v>0</v>
      </c>
      <c r="P14" s="4">
        <v>8</v>
      </c>
      <c r="Q14" s="3" t="s">
        <v>26</v>
      </c>
      <c r="R14" s="3">
        <v>0</v>
      </c>
      <c r="S14" s="4">
        <v>7</v>
      </c>
      <c r="T14" s="4">
        <v>0</v>
      </c>
      <c r="U14" s="4">
        <v>0</v>
      </c>
      <c r="V14" s="4">
        <f>IF(ISERROR(VLOOKUP($S$14,'TAR FIN'!$A$1:$O$88,15,0)),0,VLOOKUP($S$14,'TAR FIN'!$A$1:$O$88,15,0))</f>
        <v>32.22</v>
      </c>
      <c r="W14" s="4">
        <f>IF(ISERROR(VLOOKUP($T$14,'TAR FIN'!$A$1:$O$88,15,0)),0,VLOOKUP($T$14,'TAR FIN'!$A$1:$O$88,15,0))</f>
        <v>0</v>
      </c>
      <c r="X14" s="4">
        <f>IF(ISERROR(VLOOKUP($U$14,'TAR FIN'!$A$1:$O$88,15,0)),0,VLOOKUP($U$14,'TAR FIN'!$A$1:$O$88,15,0))</f>
        <v>0</v>
      </c>
      <c r="Y14" s="4">
        <f ca="1">('TUSD BE'!$AM$10+'TUSD BF'!$AM$10+'TUSD CVA'!$AM$10)*1</f>
        <v>34.404837809677844</v>
      </c>
      <c r="Z14" s="4"/>
      <c r="AA14" s="4"/>
      <c r="AB14" s="4">
        <f>$K$14*$V$14</f>
        <v>23133.96</v>
      </c>
      <c r="AC14" s="4">
        <f>$M$14*$W$14</f>
        <v>0</v>
      </c>
      <c r="AD14" s="4">
        <f>$O$14*$X$14</f>
        <v>0</v>
      </c>
      <c r="AE14" s="4">
        <f ca="1">$K$14*$Y$14</f>
        <v>24702.673547348691</v>
      </c>
      <c r="AF14" s="4">
        <f>$M$14*$Z$14</f>
        <v>0</v>
      </c>
      <c r="AG14" s="4">
        <f>$O$14*$AA$14</f>
        <v>0</v>
      </c>
    </row>
    <row r="15" spans="1:48" ht="11.25" customHeight="1" x14ac:dyDescent="0.25">
      <c r="A15" s="3" t="s">
        <v>21</v>
      </c>
      <c r="B15" s="3" t="s">
        <v>35</v>
      </c>
      <c r="C15" s="3" t="s">
        <v>36</v>
      </c>
      <c r="D15" s="3" t="s">
        <v>39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44470</v>
      </c>
      <c r="J15" s="4">
        <v>711</v>
      </c>
      <c r="K15" s="4">
        <v>711</v>
      </c>
      <c r="L15" s="4">
        <v>0</v>
      </c>
      <c r="M15" s="4">
        <v>0</v>
      </c>
      <c r="N15" s="4">
        <v>0</v>
      </c>
      <c r="O15" s="4">
        <v>0</v>
      </c>
      <c r="P15" s="4">
        <v>8</v>
      </c>
      <c r="Q15" s="3" t="s">
        <v>26</v>
      </c>
      <c r="R15" s="3">
        <v>0</v>
      </c>
      <c r="S15" s="4">
        <v>7</v>
      </c>
      <c r="T15" s="4">
        <v>0</v>
      </c>
      <c r="U15" s="4">
        <v>0</v>
      </c>
      <c r="V15" s="4">
        <f>IF(ISERROR(VLOOKUP($S$15,'TAR FIN'!$A$1:$O$88,15,0)),0,VLOOKUP($S$15,'TAR FIN'!$A$1:$O$88,15,0))</f>
        <v>32.22</v>
      </c>
      <c r="W15" s="4">
        <f>IF(ISERROR(VLOOKUP($T$15,'TAR FIN'!$A$1:$O$88,15,0)),0,VLOOKUP($T$15,'TAR FIN'!$A$1:$O$88,15,0))</f>
        <v>0</v>
      </c>
      <c r="X15" s="4">
        <f>IF(ISERROR(VLOOKUP($U$15,'TAR FIN'!$A$1:$O$88,15,0)),0,VLOOKUP($U$15,'TAR FIN'!$A$1:$O$88,15,0))</f>
        <v>0</v>
      </c>
      <c r="Y15" s="4">
        <f ca="1">('TUSD BE'!$AM$10+'TUSD BF'!$AM$10+'TUSD CVA'!$AM$10)*1</f>
        <v>34.404837809677844</v>
      </c>
      <c r="Z15" s="4"/>
      <c r="AA15" s="4"/>
      <c r="AB15" s="4">
        <f>$K$15*$V$15</f>
        <v>22908.42</v>
      </c>
      <c r="AC15" s="4">
        <f>$M$15*$W$15</f>
        <v>0</v>
      </c>
      <c r="AD15" s="4">
        <f>$O$15*$X$15</f>
        <v>0</v>
      </c>
      <c r="AE15" s="4">
        <f ca="1">$K$15*$Y$15</f>
        <v>24461.839682680948</v>
      </c>
      <c r="AF15" s="4">
        <f>$M$15*$Z$15</f>
        <v>0</v>
      </c>
      <c r="AG15" s="4">
        <f>$O$15*$AA$15</f>
        <v>0</v>
      </c>
    </row>
    <row r="16" spans="1:48" ht="11.25" customHeight="1" x14ac:dyDescent="0.25">
      <c r="A16" s="3" t="s">
        <v>21</v>
      </c>
      <c r="B16" s="3" t="s">
        <v>35</v>
      </c>
      <c r="C16" s="3" t="s">
        <v>36</v>
      </c>
      <c r="D16" s="3" t="s">
        <v>39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44501</v>
      </c>
      <c r="J16" s="4">
        <v>980</v>
      </c>
      <c r="K16" s="4">
        <v>980</v>
      </c>
      <c r="L16" s="4">
        <v>0</v>
      </c>
      <c r="M16" s="4">
        <v>0</v>
      </c>
      <c r="N16" s="4">
        <v>0</v>
      </c>
      <c r="O16" s="4">
        <v>0</v>
      </c>
      <c r="P16" s="4">
        <v>8</v>
      </c>
      <c r="Q16" s="3" t="s">
        <v>26</v>
      </c>
      <c r="R16" s="3">
        <v>0</v>
      </c>
      <c r="S16" s="4">
        <v>7</v>
      </c>
      <c r="T16" s="4">
        <v>0</v>
      </c>
      <c r="U16" s="4">
        <v>0</v>
      </c>
      <c r="V16" s="4">
        <f>IF(ISERROR(VLOOKUP($S$16,'TAR FIN'!$A$1:$O$88,15,0)),0,VLOOKUP($S$16,'TAR FIN'!$A$1:$O$88,15,0))</f>
        <v>32.22</v>
      </c>
      <c r="W16" s="4">
        <f>IF(ISERROR(VLOOKUP($T$16,'TAR FIN'!$A$1:$O$88,15,0)),0,VLOOKUP($T$16,'TAR FIN'!$A$1:$O$88,15,0))</f>
        <v>0</v>
      </c>
      <c r="X16" s="4">
        <f>IF(ISERROR(VLOOKUP($U$16,'TAR FIN'!$A$1:$O$88,15,0)),0,VLOOKUP($U$16,'TAR FIN'!$A$1:$O$88,15,0))</f>
        <v>0</v>
      </c>
      <c r="Y16" s="4">
        <f ca="1">('TUSD BE'!$AM$10+'TUSD BF'!$AM$10+'TUSD CVA'!$AM$10)*1</f>
        <v>34.404837809677844</v>
      </c>
      <c r="Z16" s="4"/>
      <c r="AA16" s="4"/>
      <c r="AB16" s="4">
        <f>$K$16*$V$16</f>
        <v>31575.599999999999</v>
      </c>
      <c r="AC16" s="4">
        <f>$M$16*$W$16</f>
        <v>0</v>
      </c>
      <c r="AD16" s="4">
        <f>$O$16*$X$16</f>
        <v>0</v>
      </c>
      <c r="AE16" s="4">
        <f ca="1">$K$16*$Y$16</f>
        <v>33716.741053484286</v>
      </c>
      <c r="AF16" s="4">
        <f>$M$16*$Z$16</f>
        <v>0</v>
      </c>
      <c r="AG16" s="4">
        <f>$O$16*$AA$16</f>
        <v>0</v>
      </c>
    </row>
    <row r="17" spans="1:33" ht="11.25" customHeight="1" x14ac:dyDescent="0.25">
      <c r="A17" s="3" t="s">
        <v>21</v>
      </c>
      <c r="B17" s="3" t="s">
        <v>35</v>
      </c>
      <c r="C17" s="3" t="s">
        <v>36</v>
      </c>
      <c r="D17" s="3" t="s">
        <v>39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44531</v>
      </c>
      <c r="J17" s="4">
        <v>997</v>
      </c>
      <c r="K17" s="4">
        <v>997</v>
      </c>
      <c r="L17" s="4">
        <v>0</v>
      </c>
      <c r="M17" s="4">
        <v>0</v>
      </c>
      <c r="N17" s="4">
        <v>0</v>
      </c>
      <c r="O17" s="4">
        <v>0</v>
      </c>
      <c r="P17" s="4">
        <v>8</v>
      </c>
      <c r="Q17" s="3" t="s">
        <v>26</v>
      </c>
      <c r="R17" s="3">
        <v>0</v>
      </c>
      <c r="S17" s="4">
        <v>7</v>
      </c>
      <c r="T17" s="4">
        <v>0</v>
      </c>
      <c r="U17" s="4">
        <v>0</v>
      </c>
      <c r="V17" s="4">
        <f>IF(ISERROR(VLOOKUP($S$17,'TAR FIN'!$A$1:$O$88,15,0)),0,VLOOKUP($S$17,'TAR FIN'!$A$1:$O$88,15,0))</f>
        <v>32.22</v>
      </c>
      <c r="W17" s="4">
        <f>IF(ISERROR(VLOOKUP($T$17,'TAR FIN'!$A$1:$O$88,15,0)),0,VLOOKUP($T$17,'TAR FIN'!$A$1:$O$88,15,0))</f>
        <v>0</v>
      </c>
      <c r="X17" s="4">
        <f>IF(ISERROR(VLOOKUP($U$17,'TAR FIN'!$A$1:$O$88,15,0)),0,VLOOKUP($U$17,'TAR FIN'!$A$1:$O$88,15,0))</f>
        <v>0</v>
      </c>
      <c r="Y17" s="4">
        <f ca="1">('TUSD BE'!$AM$10+'TUSD BF'!$AM$10+'TUSD CVA'!$AM$10)*1</f>
        <v>34.404837809677844</v>
      </c>
      <c r="Z17" s="4"/>
      <c r="AA17" s="4"/>
      <c r="AB17" s="4">
        <f>$K$17*$V$17</f>
        <v>32123.34</v>
      </c>
      <c r="AC17" s="4">
        <f>$M$17*$W$17</f>
        <v>0</v>
      </c>
      <c r="AD17" s="4">
        <f>$O$17*$X$17</f>
        <v>0</v>
      </c>
      <c r="AE17" s="4">
        <f ca="1">$K$17*$Y$17</f>
        <v>34301.623296248807</v>
      </c>
      <c r="AF17" s="4">
        <f>$M$17*$Z$17</f>
        <v>0</v>
      </c>
      <c r="AG17" s="4">
        <f>$O$17*$AA$17</f>
        <v>0</v>
      </c>
    </row>
    <row r="18" spans="1:33" ht="11.25" customHeight="1" x14ac:dyDescent="0.25">
      <c r="A18" s="3" t="s">
        <v>21</v>
      </c>
      <c r="B18" s="3" t="s">
        <v>35</v>
      </c>
      <c r="C18" s="3" t="s">
        <v>36</v>
      </c>
      <c r="D18" s="3" t="s">
        <v>39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44562</v>
      </c>
      <c r="J18" s="4">
        <v>1071</v>
      </c>
      <c r="K18" s="4">
        <v>1071</v>
      </c>
      <c r="L18" s="4">
        <v>0</v>
      </c>
      <c r="M18" s="4">
        <v>0</v>
      </c>
      <c r="N18" s="4">
        <v>0</v>
      </c>
      <c r="O18" s="4">
        <v>0</v>
      </c>
      <c r="P18" s="4">
        <v>8</v>
      </c>
      <c r="Q18" s="3" t="s">
        <v>26</v>
      </c>
      <c r="R18" s="3">
        <v>0</v>
      </c>
      <c r="S18" s="4">
        <v>7</v>
      </c>
      <c r="T18" s="4">
        <v>0</v>
      </c>
      <c r="U18" s="4">
        <v>0</v>
      </c>
      <c r="V18" s="4">
        <f>IF(ISERROR(VLOOKUP($S$18,'TAR FIN'!$A$1:$O$88,15,0)),0,VLOOKUP($S$18,'TAR FIN'!$A$1:$O$88,15,0))</f>
        <v>32.22</v>
      </c>
      <c r="W18" s="4">
        <f>IF(ISERROR(VLOOKUP($T$18,'TAR FIN'!$A$1:$O$88,15,0)),0,VLOOKUP($T$18,'TAR FIN'!$A$1:$O$88,15,0))</f>
        <v>0</v>
      </c>
      <c r="X18" s="4">
        <f>IF(ISERROR(VLOOKUP($U$18,'TAR FIN'!$A$1:$O$88,15,0)),0,VLOOKUP($U$18,'TAR FIN'!$A$1:$O$88,15,0))</f>
        <v>0</v>
      </c>
      <c r="Y18" s="4">
        <f ca="1">('TUSD BE'!$AM$10+'TUSD BF'!$AM$10+'TUSD CVA'!$AM$10)*1</f>
        <v>34.404837809677844</v>
      </c>
      <c r="Z18" s="4"/>
      <c r="AA18" s="4"/>
      <c r="AB18" s="4">
        <f>$K$18*$V$18</f>
        <v>34507.619999999995</v>
      </c>
      <c r="AC18" s="4">
        <f>$M$18*$W$18</f>
        <v>0</v>
      </c>
      <c r="AD18" s="4">
        <f>$O$18*$X$18</f>
        <v>0</v>
      </c>
      <c r="AE18" s="4">
        <f ca="1">$K$18*$Y$18</f>
        <v>36847.581294164971</v>
      </c>
      <c r="AF18" s="4">
        <f>$M$18*$Z$18</f>
        <v>0</v>
      </c>
      <c r="AG18" s="4">
        <f>$O$18*$AA$18</f>
        <v>0</v>
      </c>
    </row>
    <row r="19" spans="1:33" ht="11.25" customHeight="1" x14ac:dyDescent="0.25">
      <c r="A19" s="3" t="s">
        <v>21</v>
      </c>
      <c r="B19" s="3" t="s">
        <v>35</v>
      </c>
      <c r="C19" s="3" t="s">
        <v>36</v>
      </c>
      <c r="D19" s="3" t="s">
        <v>39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44593</v>
      </c>
      <c r="J19" s="4">
        <v>1029</v>
      </c>
      <c r="K19" s="4">
        <v>1029</v>
      </c>
      <c r="L19" s="4">
        <v>0</v>
      </c>
      <c r="M19" s="4">
        <v>0</v>
      </c>
      <c r="N19" s="4">
        <v>0</v>
      </c>
      <c r="O19" s="4">
        <v>0</v>
      </c>
      <c r="P19" s="4">
        <v>8</v>
      </c>
      <c r="Q19" s="3" t="s">
        <v>26</v>
      </c>
      <c r="R19" s="3">
        <v>0</v>
      </c>
      <c r="S19" s="4">
        <v>7</v>
      </c>
      <c r="T19" s="4">
        <v>0</v>
      </c>
      <c r="U19" s="4">
        <v>0</v>
      </c>
      <c r="V19" s="4">
        <f>IF(ISERROR(VLOOKUP($S$19,'TAR FIN'!$A$1:$O$88,15,0)),0,VLOOKUP($S$19,'TAR FIN'!$A$1:$O$88,15,0))</f>
        <v>32.22</v>
      </c>
      <c r="W19" s="4">
        <f>IF(ISERROR(VLOOKUP($T$19,'TAR FIN'!$A$1:$O$88,15,0)),0,VLOOKUP($T$19,'TAR FIN'!$A$1:$O$88,15,0))</f>
        <v>0</v>
      </c>
      <c r="X19" s="4">
        <f>IF(ISERROR(VLOOKUP($U$19,'TAR FIN'!$A$1:$O$88,15,0)),0,VLOOKUP($U$19,'TAR FIN'!$A$1:$O$88,15,0))</f>
        <v>0</v>
      </c>
      <c r="Y19" s="4">
        <f ca="1">('TUSD BE'!$AM$10+'TUSD BF'!$AM$10+'TUSD CVA'!$AM$10)*1</f>
        <v>34.404837809677844</v>
      </c>
      <c r="Z19" s="4"/>
      <c r="AA19" s="4"/>
      <c r="AB19" s="4">
        <f>$K$19*$V$19</f>
        <v>33154.379999999997</v>
      </c>
      <c r="AC19" s="4">
        <f>$M$19*$W$19</f>
        <v>0</v>
      </c>
      <c r="AD19" s="4">
        <f>$O$19*$X$19</f>
        <v>0</v>
      </c>
      <c r="AE19" s="4">
        <f ca="1">$K$19*$Y$19</f>
        <v>35402.5781061585</v>
      </c>
      <c r="AF19" s="4">
        <f>$M$19*$Z$19</f>
        <v>0</v>
      </c>
      <c r="AG19" s="4">
        <f>$O$19*$AA$19</f>
        <v>0</v>
      </c>
    </row>
    <row r="20" spans="1:33" ht="11.25" customHeight="1" x14ac:dyDescent="0.25">
      <c r="A20" s="3" t="s">
        <v>21</v>
      </c>
      <c r="B20" s="3" t="s">
        <v>35</v>
      </c>
      <c r="C20" s="3" t="s">
        <v>36</v>
      </c>
      <c r="D20" s="3" t="s">
        <v>39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44621</v>
      </c>
      <c r="J20" s="4">
        <v>1022</v>
      </c>
      <c r="K20" s="4">
        <v>1022</v>
      </c>
      <c r="L20" s="4">
        <v>0</v>
      </c>
      <c r="M20" s="4">
        <v>0</v>
      </c>
      <c r="N20" s="4">
        <v>0</v>
      </c>
      <c r="O20" s="4">
        <v>0</v>
      </c>
      <c r="P20" s="4">
        <v>8</v>
      </c>
      <c r="Q20" s="3" t="s">
        <v>26</v>
      </c>
      <c r="R20" s="3">
        <v>0</v>
      </c>
      <c r="S20" s="4">
        <v>7</v>
      </c>
      <c r="T20" s="4">
        <v>0</v>
      </c>
      <c r="U20" s="4">
        <v>0</v>
      </c>
      <c r="V20" s="4">
        <f>IF(ISERROR(VLOOKUP($S$20,'TAR FIN'!$A$1:$O$88,15,0)),0,VLOOKUP($S$20,'TAR FIN'!$A$1:$O$88,15,0))</f>
        <v>32.22</v>
      </c>
      <c r="W20" s="4">
        <f>IF(ISERROR(VLOOKUP($T$20,'TAR FIN'!$A$1:$O$88,15,0)),0,VLOOKUP($T$20,'TAR FIN'!$A$1:$O$88,15,0))</f>
        <v>0</v>
      </c>
      <c r="X20" s="4">
        <f>IF(ISERROR(VLOOKUP($U$20,'TAR FIN'!$A$1:$O$88,15,0)),0,VLOOKUP($U$20,'TAR FIN'!$A$1:$O$88,15,0))</f>
        <v>0</v>
      </c>
      <c r="Y20" s="4">
        <f ca="1">('TUSD BE'!$AM$10+'TUSD BF'!$AM$10+'TUSD CVA'!$AM$10)*1</f>
        <v>34.404837809677844</v>
      </c>
      <c r="Z20" s="4"/>
      <c r="AA20" s="4"/>
      <c r="AB20" s="4">
        <f>$K$20*$V$20</f>
        <v>32928.839999999997</v>
      </c>
      <c r="AC20" s="4">
        <f>$M$20*$W$20</f>
        <v>0</v>
      </c>
      <c r="AD20" s="4">
        <f>$O$20*$X$20</f>
        <v>0</v>
      </c>
      <c r="AE20" s="4">
        <f ca="1">$K$20*$Y$20</f>
        <v>35161.744241490756</v>
      </c>
      <c r="AF20" s="4">
        <f>$M$20*$Z$20</f>
        <v>0</v>
      </c>
      <c r="AG20" s="4">
        <f>$O$20*$AA$20</f>
        <v>0</v>
      </c>
    </row>
    <row r="21" spans="1:33" ht="11.25" customHeight="1" x14ac:dyDescent="0.25">
      <c r="A21" s="3" t="s">
        <v>21</v>
      </c>
      <c r="B21" s="3" t="s">
        <v>35</v>
      </c>
      <c r="C21" s="3" t="s">
        <v>36</v>
      </c>
      <c r="D21" s="3" t="s">
        <v>39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44652</v>
      </c>
      <c r="J21" s="4">
        <v>784</v>
      </c>
      <c r="K21" s="4">
        <v>784</v>
      </c>
      <c r="L21" s="4">
        <v>0</v>
      </c>
      <c r="M21" s="4">
        <v>0</v>
      </c>
      <c r="N21" s="4">
        <v>0</v>
      </c>
      <c r="O21" s="4">
        <v>0</v>
      </c>
      <c r="P21" s="4">
        <v>8</v>
      </c>
      <c r="Q21" s="3" t="s">
        <v>26</v>
      </c>
      <c r="R21" s="3">
        <v>0</v>
      </c>
      <c r="S21" s="4">
        <v>7</v>
      </c>
      <c r="T21" s="4">
        <v>0</v>
      </c>
      <c r="U21" s="4">
        <v>0</v>
      </c>
      <c r="V21" s="4">
        <f>IF(ISERROR(VLOOKUP($S$21,'TAR FIN'!$A$1:$O$88,15,0)),0,VLOOKUP($S$21,'TAR FIN'!$A$1:$O$88,15,0))</f>
        <v>32.22</v>
      </c>
      <c r="W21" s="4">
        <f>IF(ISERROR(VLOOKUP($T$21,'TAR FIN'!$A$1:$O$88,15,0)),0,VLOOKUP($T$21,'TAR FIN'!$A$1:$O$88,15,0))</f>
        <v>0</v>
      </c>
      <c r="X21" s="4">
        <f>IF(ISERROR(VLOOKUP($U$21,'TAR FIN'!$A$1:$O$88,15,0)),0,VLOOKUP($U$21,'TAR FIN'!$A$1:$O$88,15,0))</f>
        <v>0</v>
      </c>
      <c r="Y21" s="4">
        <f ca="1">('TUSD BE'!$AM$10+'TUSD BF'!$AM$10+'TUSD CVA'!$AM$10)*1</f>
        <v>34.404837809677844</v>
      </c>
      <c r="Z21" s="4"/>
      <c r="AA21" s="4"/>
      <c r="AB21" s="4">
        <f>$K$21*$V$21</f>
        <v>25260.48</v>
      </c>
      <c r="AC21" s="4">
        <f>$M$21*$W$21</f>
        <v>0</v>
      </c>
      <c r="AD21" s="4">
        <f>$O$21*$X$21</f>
        <v>0</v>
      </c>
      <c r="AE21" s="4">
        <f ca="1">$K$21*$Y$21</f>
        <v>26973.392842787431</v>
      </c>
      <c r="AF21" s="4">
        <f>$M$21*$Z$21</f>
        <v>0</v>
      </c>
      <c r="AG21" s="4">
        <f>$O$21*$AA$21</f>
        <v>0</v>
      </c>
    </row>
    <row r="22" spans="1:33" ht="11.25" customHeight="1" x14ac:dyDescent="0.25">
      <c r="A22" s="3" t="s">
        <v>21</v>
      </c>
      <c r="B22" s="3" t="s">
        <v>35</v>
      </c>
      <c r="C22" s="3" t="s">
        <v>36</v>
      </c>
      <c r="D22" s="3" t="s">
        <v>39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44682</v>
      </c>
      <c r="J22" s="4">
        <v>779</v>
      </c>
      <c r="K22" s="4">
        <v>779</v>
      </c>
      <c r="L22" s="4">
        <v>0</v>
      </c>
      <c r="M22" s="4">
        <v>0</v>
      </c>
      <c r="N22" s="4">
        <v>0</v>
      </c>
      <c r="O22" s="4">
        <v>0</v>
      </c>
      <c r="P22" s="4">
        <v>8</v>
      </c>
      <c r="Q22" s="3" t="s">
        <v>26</v>
      </c>
      <c r="R22" s="3">
        <v>0</v>
      </c>
      <c r="S22" s="4">
        <v>7</v>
      </c>
      <c r="T22" s="4">
        <v>0</v>
      </c>
      <c r="U22" s="4">
        <v>0</v>
      </c>
      <c r="V22" s="4">
        <f>IF(ISERROR(VLOOKUP($S$22,'TAR FIN'!$A$1:$O$88,15,0)),0,VLOOKUP($S$22,'TAR FIN'!$A$1:$O$88,15,0))</f>
        <v>32.22</v>
      </c>
      <c r="W22" s="4">
        <f>IF(ISERROR(VLOOKUP($T$22,'TAR FIN'!$A$1:$O$88,15,0)),0,VLOOKUP($T$22,'TAR FIN'!$A$1:$O$88,15,0))</f>
        <v>0</v>
      </c>
      <c r="X22" s="4">
        <f>IF(ISERROR(VLOOKUP($U$22,'TAR FIN'!$A$1:$O$88,15,0)),0,VLOOKUP($U$22,'TAR FIN'!$A$1:$O$88,15,0))</f>
        <v>0</v>
      </c>
      <c r="Y22" s="4">
        <f ca="1">('TUSD BE'!$AM$10+'TUSD BF'!$AM$10+'TUSD CVA'!$AM$10)*1</f>
        <v>34.404837809677844</v>
      </c>
      <c r="Z22" s="4"/>
      <c r="AA22" s="4"/>
      <c r="AB22" s="4">
        <f>$K$22*$V$22</f>
        <v>25099.379999999997</v>
      </c>
      <c r="AC22" s="4">
        <f>$M$22*$W$22</f>
        <v>0</v>
      </c>
      <c r="AD22" s="4">
        <f>$O$22*$X$22</f>
        <v>0</v>
      </c>
      <c r="AE22" s="4">
        <f ca="1">$K$22*$Y$22</f>
        <v>26801.368653739039</v>
      </c>
      <c r="AF22" s="4">
        <f>$M$22*$Z$22</f>
        <v>0</v>
      </c>
      <c r="AG22" s="4">
        <f>$O$22*$AA$22</f>
        <v>0</v>
      </c>
    </row>
    <row r="23" spans="1:33" ht="11.25" customHeight="1" x14ac:dyDescent="0.25">
      <c r="A23" s="3" t="s">
        <v>21</v>
      </c>
      <c r="B23" s="3" t="s">
        <v>35</v>
      </c>
      <c r="C23" s="3" t="s">
        <v>36</v>
      </c>
      <c r="D23" s="3" t="s">
        <v>39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44713</v>
      </c>
      <c r="J23" s="4">
        <v>793</v>
      </c>
      <c r="K23" s="4">
        <v>793</v>
      </c>
      <c r="L23" s="4">
        <v>0</v>
      </c>
      <c r="M23" s="4">
        <v>0</v>
      </c>
      <c r="N23" s="4">
        <v>0</v>
      </c>
      <c r="O23" s="4">
        <v>0</v>
      </c>
      <c r="P23" s="4">
        <v>8</v>
      </c>
      <c r="Q23" s="3" t="s">
        <v>26</v>
      </c>
      <c r="R23" s="3">
        <v>0</v>
      </c>
      <c r="S23" s="4">
        <v>7</v>
      </c>
      <c r="T23" s="4">
        <v>0</v>
      </c>
      <c r="U23" s="4">
        <v>0</v>
      </c>
      <c r="V23" s="4">
        <f>IF(ISERROR(VLOOKUP($S$23,'TAR FIN'!$A$1:$O$88,15,0)),0,VLOOKUP($S$23,'TAR FIN'!$A$1:$O$88,15,0))</f>
        <v>32.22</v>
      </c>
      <c r="W23" s="4">
        <f>IF(ISERROR(VLOOKUP($T$23,'TAR FIN'!$A$1:$O$88,15,0)),0,VLOOKUP($T$23,'TAR FIN'!$A$1:$O$88,15,0))</f>
        <v>0</v>
      </c>
      <c r="X23" s="4">
        <f>IF(ISERROR(VLOOKUP($U$23,'TAR FIN'!$A$1:$O$88,15,0)),0,VLOOKUP($U$23,'TAR FIN'!$A$1:$O$88,15,0))</f>
        <v>0</v>
      </c>
      <c r="Y23" s="4">
        <f ca="1">('TUSD BE'!$AM$10+'TUSD BF'!$AM$10+'TUSD CVA'!$AM$10)*1</f>
        <v>34.404837809677844</v>
      </c>
      <c r="Z23" s="4"/>
      <c r="AA23" s="4"/>
      <c r="AB23" s="4">
        <f>$K$23*$V$23</f>
        <v>25550.46</v>
      </c>
      <c r="AC23" s="4">
        <f>$M$23*$W$23</f>
        <v>0</v>
      </c>
      <c r="AD23" s="4">
        <f>$O$23*$X$23</f>
        <v>0</v>
      </c>
      <c r="AE23" s="4">
        <f ca="1">$K$23*$Y$23</f>
        <v>27283.03638307453</v>
      </c>
      <c r="AF23" s="4">
        <f>$M$23*$Z$23</f>
        <v>0</v>
      </c>
      <c r="AG23" s="4">
        <f>$O$23*$AA$23</f>
        <v>0</v>
      </c>
    </row>
    <row r="24" spans="1:33" ht="11.25" customHeight="1" x14ac:dyDescent="0.25">
      <c r="A24" s="3" t="s">
        <v>21</v>
      </c>
      <c r="B24" s="3" t="s">
        <v>35</v>
      </c>
      <c r="C24" s="3" t="s">
        <v>36</v>
      </c>
      <c r="D24" s="3" t="s">
        <v>39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44743</v>
      </c>
      <c r="J24" s="4">
        <v>784</v>
      </c>
      <c r="K24" s="4">
        <v>784</v>
      </c>
      <c r="L24" s="4">
        <v>0</v>
      </c>
      <c r="M24" s="4">
        <v>0</v>
      </c>
      <c r="N24" s="4">
        <v>0</v>
      </c>
      <c r="O24" s="4">
        <v>0</v>
      </c>
      <c r="P24" s="4">
        <v>8</v>
      </c>
      <c r="Q24" s="3" t="s">
        <v>26</v>
      </c>
      <c r="R24" s="3">
        <v>0</v>
      </c>
      <c r="S24" s="4">
        <v>7</v>
      </c>
      <c r="T24" s="4">
        <v>0</v>
      </c>
      <c r="U24" s="4">
        <v>0</v>
      </c>
      <c r="V24" s="4">
        <f>IF(ISERROR(VLOOKUP($S$24,'TAR FIN'!$A$1:$O$88,15,0)),0,VLOOKUP($S$24,'TAR FIN'!$A$1:$O$88,15,0))</f>
        <v>32.22</v>
      </c>
      <c r="W24" s="4">
        <f>IF(ISERROR(VLOOKUP($T$24,'TAR FIN'!$A$1:$O$88,15,0)),0,VLOOKUP($T$24,'TAR FIN'!$A$1:$O$88,15,0))</f>
        <v>0</v>
      </c>
      <c r="X24" s="4">
        <f>IF(ISERROR(VLOOKUP($U$24,'TAR FIN'!$A$1:$O$88,15,0)),0,VLOOKUP($U$24,'TAR FIN'!$A$1:$O$88,15,0))</f>
        <v>0</v>
      </c>
      <c r="Y24" s="4">
        <f ca="1">('TUSD BE'!$AM$10+'TUSD BF'!$AM$10+'TUSD CVA'!$AM$10)*1</f>
        <v>34.404837809677844</v>
      </c>
      <c r="Z24" s="4"/>
      <c r="AA24" s="4"/>
      <c r="AB24" s="4">
        <f>$K$24*$V$24</f>
        <v>25260.48</v>
      </c>
      <c r="AC24" s="4">
        <f>$M$24*$W$24</f>
        <v>0</v>
      </c>
      <c r="AD24" s="4">
        <f>$O$24*$X$24</f>
        <v>0</v>
      </c>
      <c r="AE24" s="4">
        <f ca="1">$K$24*$Y$24</f>
        <v>26973.392842787431</v>
      </c>
      <c r="AF24" s="4">
        <f>$M$24*$Z$24</f>
        <v>0</v>
      </c>
      <c r="AG24" s="4">
        <f>$O$24*$AA$24</f>
        <v>0</v>
      </c>
    </row>
    <row r="25" spans="1:33" ht="11.25" customHeight="1" x14ac:dyDescent="0.25">
      <c r="A25" s="3" t="s">
        <v>21</v>
      </c>
      <c r="B25" s="3" t="s">
        <v>35</v>
      </c>
      <c r="C25" s="3" t="s">
        <v>36</v>
      </c>
      <c r="D25" s="3" t="s">
        <v>39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44774</v>
      </c>
      <c r="J25" s="4">
        <v>791</v>
      </c>
      <c r="K25" s="4">
        <v>791</v>
      </c>
      <c r="L25" s="4">
        <v>0</v>
      </c>
      <c r="M25" s="4">
        <v>0</v>
      </c>
      <c r="N25" s="4">
        <v>0</v>
      </c>
      <c r="O25" s="4">
        <v>0</v>
      </c>
      <c r="P25" s="4">
        <v>8</v>
      </c>
      <c r="Q25" s="3" t="s">
        <v>26</v>
      </c>
      <c r="R25" s="3">
        <v>0</v>
      </c>
      <c r="S25" s="4">
        <v>7</v>
      </c>
      <c r="T25" s="4">
        <v>0</v>
      </c>
      <c r="U25" s="4">
        <v>0</v>
      </c>
      <c r="V25" s="4">
        <f>IF(ISERROR(VLOOKUP($S$25,'TAR FIN'!$A$1:$O$88,15,0)),0,VLOOKUP($S$25,'TAR FIN'!$A$1:$O$88,15,0))</f>
        <v>32.22</v>
      </c>
      <c r="W25" s="4">
        <f>IF(ISERROR(VLOOKUP($T$25,'TAR FIN'!$A$1:$O$88,15,0)),0,VLOOKUP($T$25,'TAR FIN'!$A$1:$O$88,15,0))</f>
        <v>0</v>
      </c>
      <c r="X25" s="4">
        <f>IF(ISERROR(VLOOKUP($U$25,'TAR FIN'!$A$1:$O$88,15,0)),0,VLOOKUP($U$25,'TAR FIN'!$A$1:$O$88,15,0))</f>
        <v>0</v>
      </c>
      <c r="Y25" s="4">
        <f ca="1">('TUSD BE'!$AM$10+'TUSD BF'!$AM$10+'TUSD CVA'!$AM$10)*1</f>
        <v>34.404837809677844</v>
      </c>
      <c r="Z25" s="4"/>
      <c r="AA25" s="4"/>
      <c r="AB25" s="4">
        <f>$K$25*$V$25</f>
        <v>25486.02</v>
      </c>
      <c r="AC25" s="4">
        <f>$M$25*$W$25</f>
        <v>0</v>
      </c>
      <c r="AD25" s="4">
        <f>$O$25*$X$25</f>
        <v>0</v>
      </c>
      <c r="AE25" s="4">
        <f ca="1">$K$25*$Y$25</f>
        <v>27214.226707455175</v>
      </c>
      <c r="AF25" s="4">
        <f>$M$25*$Z$25</f>
        <v>0</v>
      </c>
      <c r="AG25" s="4">
        <f>$O$25*$AA$25</f>
        <v>0</v>
      </c>
    </row>
    <row r="26" spans="1:33" ht="11.25" customHeight="1" x14ac:dyDescent="0.25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0</v>
      </c>
      <c r="K26" s="4">
        <v>0</v>
      </c>
      <c r="L26" s="4">
        <v>3.782</v>
      </c>
      <c r="M26" s="4">
        <v>3.782</v>
      </c>
      <c r="N26" s="4">
        <v>3.782</v>
      </c>
      <c r="O26" s="4">
        <v>3.782</v>
      </c>
      <c r="P26" s="4">
        <v>0</v>
      </c>
      <c r="Q26" s="3" t="s">
        <v>26</v>
      </c>
      <c r="R26" s="3">
        <v>0</v>
      </c>
      <c r="S26" s="4">
        <v>0</v>
      </c>
      <c r="T26" s="4">
        <v>13</v>
      </c>
      <c r="U26" s="4">
        <v>42</v>
      </c>
      <c r="V26" s="4">
        <f>IF(ISERROR(VLOOKUP($S$26,'TAR FIN'!$A$1:$O$88,15,0)),0,VLOOKUP($S$26,'TAR FIN'!$A$1:$O$88,15,0))</f>
        <v>0</v>
      </c>
      <c r="W26" s="4">
        <f>IF(ISERROR(VLOOKUP($T$26,'TAR FIN'!$A$1:$O$88,15,0)),0,VLOOKUP($T$26,'TAR FIN'!$A$1:$O$88,15,0))</f>
        <v>2490.0500000000002</v>
      </c>
      <c r="X26" s="4">
        <f>IF(ISERROR(VLOOKUP($U$26,'TAR FIN'!$A$1:$O$88,15,0)),0,VLOOKUP($U$26,'TAR FIN'!$A$1:$O$88,15,0))</f>
        <v>165.21</v>
      </c>
      <c r="Y26" s="4"/>
      <c r="Z26" s="4">
        <f ca="1">('TUSD BE'!$AM$11+'TUSD BF'!$AM$11+'TUSD CVA'!$AM$11)*1</f>
        <v>2655.9538256104047</v>
      </c>
      <c r="AA26" s="4">
        <f>('TE BE'!$AB$5+'TE BF'!$AB$5+'TE CVA'!$AB$5)*1</f>
        <v>153.95741395122897</v>
      </c>
      <c r="AB26" s="4">
        <f>$K$26*$V$26</f>
        <v>0</v>
      </c>
      <c r="AC26" s="4">
        <f>$M$26*$W$26</f>
        <v>9417.3690999999999</v>
      </c>
      <c r="AD26" s="4">
        <f>$O$26*$X$26</f>
        <v>624.82422000000008</v>
      </c>
      <c r="AE26" s="4">
        <f>$K$26*$Y$26</f>
        <v>0</v>
      </c>
      <c r="AF26" s="4">
        <f ca="1">$M$26*$Z$26</f>
        <v>10044.817368458551</v>
      </c>
      <c r="AG26" s="4">
        <f>$O$26*$AA$26</f>
        <v>582.26693956354802</v>
      </c>
    </row>
    <row r="27" spans="1:33" ht="11.25" customHeight="1" x14ac:dyDescent="0.25">
      <c r="A27" s="3" t="s">
        <v>21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44470</v>
      </c>
      <c r="J27" s="4">
        <v>0</v>
      </c>
      <c r="K27" s="4">
        <v>0</v>
      </c>
      <c r="L27" s="4">
        <v>3.4670000000000001</v>
      </c>
      <c r="M27" s="4">
        <v>3.4670000000000001</v>
      </c>
      <c r="N27" s="4">
        <v>3.4670000000000001</v>
      </c>
      <c r="O27" s="4">
        <v>3.4670000000000001</v>
      </c>
      <c r="P27" s="4">
        <v>0</v>
      </c>
      <c r="Q27" s="3" t="s">
        <v>26</v>
      </c>
      <c r="R27" s="3">
        <v>0</v>
      </c>
      <c r="S27" s="4">
        <v>0</v>
      </c>
      <c r="T27" s="4">
        <v>13</v>
      </c>
      <c r="U27" s="4">
        <v>42</v>
      </c>
      <c r="V27" s="4">
        <f>IF(ISERROR(VLOOKUP($S$27,'TAR FIN'!$A$1:$O$88,15,0)),0,VLOOKUP($S$27,'TAR FIN'!$A$1:$O$88,15,0))</f>
        <v>0</v>
      </c>
      <c r="W27" s="4">
        <f>IF(ISERROR(VLOOKUP($T$27,'TAR FIN'!$A$1:$O$88,15,0)),0,VLOOKUP($T$27,'TAR FIN'!$A$1:$O$88,15,0))</f>
        <v>2490.0500000000002</v>
      </c>
      <c r="X27" s="4">
        <f>IF(ISERROR(VLOOKUP($U$27,'TAR FIN'!$A$1:$O$88,15,0)),0,VLOOKUP($U$27,'TAR FIN'!$A$1:$O$88,15,0))</f>
        <v>165.21</v>
      </c>
      <c r="Y27" s="4"/>
      <c r="Z27" s="4">
        <f ca="1">('TUSD BE'!$AM$11+'TUSD BF'!$AM$11+'TUSD CVA'!$AM$11)*1</f>
        <v>2655.9538256104047</v>
      </c>
      <c r="AA27" s="4">
        <f>('TE BE'!$AB$5+'TE BF'!$AB$5+'TE CVA'!$AB$5)*1</f>
        <v>153.95741395122897</v>
      </c>
      <c r="AB27" s="4">
        <f>$K$27*$V$27</f>
        <v>0</v>
      </c>
      <c r="AC27" s="4">
        <f>$M$27*$W$27</f>
        <v>8633.0033500000009</v>
      </c>
      <c r="AD27" s="4">
        <f>$O$27*$X$27</f>
        <v>572.78307000000007</v>
      </c>
      <c r="AE27" s="4">
        <f>$K$27*$Y$27</f>
        <v>0</v>
      </c>
      <c r="AF27" s="4">
        <f ca="1">$M$27*$Z$27</f>
        <v>9208.1919133912725</v>
      </c>
      <c r="AG27" s="4">
        <f>$O$27*$AA$27</f>
        <v>533.7703541689109</v>
      </c>
    </row>
    <row r="28" spans="1:33" ht="11.25" customHeight="1" x14ac:dyDescent="0.25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44501</v>
      </c>
      <c r="J28" s="4">
        <v>0</v>
      </c>
      <c r="K28" s="4">
        <v>0</v>
      </c>
      <c r="L28" s="4">
        <v>3.1949999999999998</v>
      </c>
      <c r="M28" s="4">
        <v>3.1949999999999998</v>
      </c>
      <c r="N28" s="4">
        <v>3.1949999999999998</v>
      </c>
      <c r="O28" s="4">
        <v>3.1949999999999998</v>
      </c>
      <c r="P28" s="4">
        <v>0</v>
      </c>
      <c r="Q28" s="3" t="s">
        <v>26</v>
      </c>
      <c r="R28" s="3">
        <v>0</v>
      </c>
      <c r="S28" s="4">
        <v>0</v>
      </c>
      <c r="T28" s="4">
        <v>13</v>
      </c>
      <c r="U28" s="4">
        <v>42</v>
      </c>
      <c r="V28" s="4">
        <f>IF(ISERROR(VLOOKUP($S$28,'TAR FIN'!$A$1:$O$88,15,0)),0,VLOOKUP($S$28,'TAR FIN'!$A$1:$O$88,15,0))</f>
        <v>0</v>
      </c>
      <c r="W28" s="4">
        <f>IF(ISERROR(VLOOKUP($T$28,'TAR FIN'!$A$1:$O$88,15,0)),0,VLOOKUP($T$28,'TAR FIN'!$A$1:$O$88,15,0))</f>
        <v>2490.0500000000002</v>
      </c>
      <c r="X28" s="4">
        <f>IF(ISERROR(VLOOKUP($U$28,'TAR FIN'!$A$1:$O$88,15,0)),0,VLOOKUP($U$28,'TAR FIN'!$A$1:$O$88,15,0))</f>
        <v>165.21</v>
      </c>
      <c r="Y28" s="4"/>
      <c r="Z28" s="4">
        <f ca="1">('TUSD BE'!$AM$11+'TUSD BF'!$AM$11+'TUSD CVA'!$AM$11)*1</f>
        <v>2655.9538256104047</v>
      </c>
      <c r="AA28" s="4">
        <f>('TE BE'!$AB$5+'TE BF'!$AB$5+'TE CVA'!$AB$5)*1</f>
        <v>153.95741395122897</v>
      </c>
      <c r="AB28" s="4">
        <f>$K$28*$V$28</f>
        <v>0</v>
      </c>
      <c r="AC28" s="4">
        <f>$M$28*$W$28</f>
        <v>7955.70975</v>
      </c>
      <c r="AD28" s="4">
        <f>$O$28*$X$28</f>
        <v>527.84595000000002</v>
      </c>
      <c r="AE28" s="4">
        <f>$K$28*$Y$28</f>
        <v>0</v>
      </c>
      <c r="AF28" s="4">
        <f ca="1">$M$28*$Z$28</f>
        <v>8485.7724728252433</v>
      </c>
      <c r="AG28" s="4">
        <f>$O$28*$AA$28</f>
        <v>491.89393757417656</v>
      </c>
    </row>
    <row r="29" spans="1:33" ht="11.25" customHeight="1" x14ac:dyDescent="0.25">
      <c r="A29" s="3" t="s">
        <v>21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44531</v>
      </c>
      <c r="J29" s="4">
        <v>0</v>
      </c>
      <c r="K29" s="4">
        <v>0</v>
      </c>
      <c r="L29" s="4">
        <v>5.4130000000000003</v>
      </c>
      <c r="M29" s="4">
        <v>5.4130000000000003</v>
      </c>
      <c r="N29" s="4">
        <v>5.4130000000000003</v>
      </c>
      <c r="O29" s="4">
        <v>5.4130000000000003</v>
      </c>
      <c r="P29" s="4">
        <v>0</v>
      </c>
      <c r="Q29" s="3" t="s">
        <v>26</v>
      </c>
      <c r="R29" s="3">
        <v>0</v>
      </c>
      <c r="S29" s="4">
        <v>0</v>
      </c>
      <c r="T29" s="4">
        <v>13</v>
      </c>
      <c r="U29" s="4">
        <v>42</v>
      </c>
      <c r="V29" s="4">
        <f>IF(ISERROR(VLOOKUP($S$29,'TAR FIN'!$A$1:$O$88,15,0)),0,VLOOKUP($S$29,'TAR FIN'!$A$1:$O$88,15,0))</f>
        <v>0</v>
      </c>
      <c r="W29" s="4">
        <f>IF(ISERROR(VLOOKUP($T$29,'TAR FIN'!$A$1:$O$88,15,0)),0,VLOOKUP($T$29,'TAR FIN'!$A$1:$O$88,15,0))</f>
        <v>2490.0500000000002</v>
      </c>
      <c r="X29" s="4">
        <f>IF(ISERROR(VLOOKUP($U$29,'TAR FIN'!$A$1:$O$88,15,0)),0,VLOOKUP($U$29,'TAR FIN'!$A$1:$O$88,15,0))</f>
        <v>165.21</v>
      </c>
      <c r="Y29" s="4"/>
      <c r="Z29" s="4">
        <f ca="1">('TUSD BE'!$AM$11+'TUSD BF'!$AM$11+'TUSD CVA'!$AM$11)*1</f>
        <v>2655.9538256104047</v>
      </c>
      <c r="AA29" s="4">
        <f>('TE BE'!$AB$5+'TE BF'!$AB$5+'TE CVA'!$AB$5)*1</f>
        <v>153.95741395122897</v>
      </c>
      <c r="AB29" s="4">
        <f>$K$29*$V$29</f>
        <v>0</v>
      </c>
      <c r="AC29" s="4">
        <f>$M$29*$W$29</f>
        <v>13478.640650000001</v>
      </c>
      <c r="AD29" s="4">
        <f>$O$29*$X$29</f>
        <v>894.28173000000004</v>
      </c>
      <c r="AE29" s="4">
        <f>$K$29*$Y$29</f>
        <v>0</v>
      </c>
      <c r="AF29" s="4">
        <f ca="1">$M$29*$Z$29</f>
        <v>14376.678058029122</v>
      </c>
      <c r="AG29" s="4">
        <f>$O$29*$AA$29</f>
        <v>833.37148171800243</v>
      </c>
    </row>
    <row r="30" spans="1:33" ht="11.25" customHeight="1" x14ac:dyDescent="0.25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44562</v>
      </c>
      <c r="J30" s="4">
        <v>0</v>
      </c>
      <c r="K30" s="4">
        <v>0</v>
      </c>
      <c r="L30" s="4">
        <v>6.468</v>
      </c>
      <c r="M30" s="4">
        <v>6.468</v>
      </c>
      <c r="N30" s="4">
        <v>6.468</v>
      </c>
      <c r="O30" s="4">
        <v>6.468</v>
      </c>
      <c r="P30" s="4">
        <v>0</v>
      </c>
      <c r="Q30" s="3" t="s">
        <v>26</v>
      </c>
      <c r="R30" s="3">
        <v>0</v>
      </c>
      <c r="S30" s="4">
        <v>0</v>
      </c>
      <c r="T30" s="4">
        <v>13</v>
      </c>
      <c r="U30" s="4">
        <v>42</v>
      </c>
      <c r="V30" s="4">
        <f>IF(ISERROR(VLOOKUP($S$30,'TAR FIN'!$A$1:$O$88,15,0)),0,VLOOKUP($S$30,'TAR FIN'!$A$1:$O$88,15,0))</f>
        <v>0</v>
      </c>
      <c r="W30" s="4">
        <f>IF(ISERROR(VLOOKUP($T$30,'TAR FIN'!$A$1:$O$88,15,0)),0,VLOOKUP($T$30,'TAR FIN'!$A$1:$O$88,15,0))</f>
        <v>2490.0500000000002</v>
      </c>
      <c r="X30" s="4">
        <f>IF(ISERROR(VLOOKUP($U$30,'TAR FIN'!$A$1:$O$88,15,0)),0,VLOOKUP($U$30,'TAR FIN'!$A$1:$O$88,15,0))</f>
        <v>165.21</v>
      </c>
      <c r="Y30" s="4"/>
      <c r="Z30" s="4">
        <f ca="1">('TUSD BE'!$AM$11+'TUSD BF'!$AM$11+'TUSD CVA'!$AM$11)*1</f>
        <v>2655.9538256104047</v>
      </c>
      <c r="AA30" s="4">
        <f>('TE BE'!$AB$5+'TE BF'!$AB$5+'TE CVA'!$AB$5)*1</f>
        <v>153.95741395122897</v>
      </c>
      <c r="AB30" s="4">
        <f>$K$30*$V$30</f>
        <v>0</v>
      </c>
      <c r="AC30" s="4">
        <f>$M$30*$W$30</f>
        <v>16105.643400000001</v>
      </c>
      <c r="AD30" s="4">
        <f>$O$30*$X$30</f>
        <v>1068.5782799999999</v>
      </c>
      <c r="AE30" s="4">
        <f>$K$30*$Y$30</f>
        <v>0</v>
      </c>
      <c r="AF30" s="4">
        <f ca="1">$M$30*$Z$30</f>
        <v>17178.709344048097</v>
      </c>
      <c r="AG30" s="4">
        <f>$O$30*$AA$30</f>
        <v>995.79655343654895</v>
      </c>
    </row>
    <row r="31" spans="1:33" ht="11.25" customHeight="1" x14ac:dyDescent="0.25">
      <c r="A31" s="3" t="s">
        <v>21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44593</v>
      </c>
      <c r="J31" s="4">
        <v>0</v>
      </c>
      <c r="K31" s="4">
        <v>0</v>
      </c>
      <c r="L31" s="4">
        <v>4.6429999999999998</v>
      </c>
      <c r="M31" s="4">
        <v>4.6429999999999998</v>
      </c>
      <c r="N31" s="4">
        <v>4.6429999999999998</v>
      </c>
      <c r="O31" s="4">
        <v>4.6429999999999998</v>
      </c>
      <c r="P31" s="4">
        <v>0</v>
      </c>
      <c r="Q31" s="3" t="s">
        <v>26</v>
      </c>
      <c r="R31" s="3">
        <v>0</v>
      </c>
      <c r="S31" s="4">
        <v>0</v>
      </c>
      <c r="T31" s="4">
        <v>13</v>
      </c>
      <c r="U31" s="4">
        <v>42</v>
      </c>
      <c r="V31" s="4">
        <f>IF(ISERROR(VLOOKUP($S$31,'TAR FIN'!$A$1:$O$88,15,0)),0,VLOOKUP($S$31,'TAR FIN'!$A$1:$O$88,15,0))</f>
        <v>0</v>
      </c>
      <c r="W31" s="4">
        <f>IF(ISERROR(VLOOKUP($T$31,'TAR FIN'!$A$1:$O$88,15,0)),0,VLOOKUP($T$31,'TAR FIN'!$A$1:$O$88,15,0))</f>
        <v>2490.0500000000002</v>
      </c>
      <c r="X31" s="4">
        <f>IF(ISERROR(VLOOKUP($U$31,'TAR FIN'!$A$1:$O$88,15,0)),0,VLOOKUP($U$31,'TAR FIN'!$A$1:$O$88,15,0))</f>
        <v>165.21</v>
      </c>
      <c r="Y31" s="4"/>
      <c r="Z31" s="4">
        <f ca="1">('TUSD BE'!$AM$11+'TUSD BF'!$AM$11+'TUSD CVA'!$AM$11)*1</f>
        <v>2655.9538256104047</v>
      </c>
      <c r="AA31" s="4">
        <f>('TE BE'!$AB$5+'TE BF'!$AB$5+'TE CVA'!$AB$5)*1</f>
        <v>153.95741395122897</v>
      </c>
      <c r="AB31" s="4">
        <f>$K$31*$V$31</f>
        <v>0</v>
      </c>
      <c r="AC31" s="4">
        <f>$M$31*$W$31</f>
        <v>11561.30215</v>
      </c>
      <c r="AD31" s="4">
        <f>$O$31*$X$31</f>
        <v>767.07002999999997</v>
      </c>
      <c r="AE31" s="4">
        <f>$K$31*$Y$31</f>
        <v>0</v>
      </c>
      <c r="AF31" s="4">
        <f ca="1">$M$31*$Z$31</f>
        <v>12331.593612309109</v>
      </c>
      <c r="AG31" s="4">
        <f>$O$31*$AA$31</f>
        <v>714.82427297555614</v>
      </c>
    </row>
    <row r="32" spans="1:33" ht="11.25" customHeight="1" x14ac:dyDescent="0.25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44621</v>
      </c>
      <c r="J32" s="4">
        <v>0</v>
      </c>
      <c r="K32" s="4">
        <v>0</v>
      </c>
      <c r="L32" s="4">
        <v>4.7569999999999997</v>
      </c>
      <c r="M32" s="4">
        <v>4.7569999999999997</v>
      </c>
      <c r="N32" s="4">
        <v>4.7569999999999997</v>
      </c>
      <c r="O32" s="4">
        <v>4.7569999999999997</v>
      </c>
      <c r="P32" s="4">
        <v>0</v>
      </c>
      <c r="Q32" s="3" t="s">
        <v>26</v>
      </c>
      <c r="R32" s="3">
        <v>0</v>
      </c>
      <c r="S32" s="4">
        <v>0</v>
      </c>
      <c r="T32" s="4">
        <v>13</v>
      </c>
      <c r="U32" s="4">
        <v>42</v>
      </c>
      <c r="V32" s="4">
        <f>IF(ISERROR(VLOOKUP($S$32,'TAR FIN'!$A$1:$O$88,15,0)),0,VLOOKUP($S$32,'TAR FIN'!$A$1:$O$88,15,0))</f>
        <v>0</v>
      </c>
      <c r="W32" s="4">
        <f>IF(ISERROR(VLOOKUP($T$32,'TAR FIN'!$A$1:$O$88,15,0)),0,VLOOKUP($T$32,'TAR FIN'!$A$1:$O$88,15,0))</f>
        <v>2490.0500000000002</v>
      </c>
      <c r="X32" s="4">
        <f>IF(ISERROR(VLOOKUP($U$32,'TAR FIN'!$A$1:$O$88,15,0)),0,VLOOKUP($U$32,'TAR FIN'!$A$1:$O$88,15,0))</f>
        <v>165.21</v>
      </c>
      <c r="Y32" s="4"/>
      <c r="Z32" s="4">
        <f ca="1">('TUSD BE'!$AM$11+'TUSD BF'!$AM$11+'TUSD CVA'!$AM$11)*1</f>
        <v>2655.9538256104047</v>
      </c>
      <c r="AA32" s="4">
        <f>('TE BE'!$AB$5+'TE BF'!$AB$5+'TE CVA'!$AB$5)*1</f>
        <v>153.95741395122897</v>
      </c>
      <c r="AB32" s="4">
        <f>$K$32*$V$32</f>
        <v>0</v>
      </c>
      <c r="AC32" s="4">
        <f>$M$32*$W$32</f>
        <v>11845.16785</v>
      </c>
      <c r="AD32" s="4">
        <f>$O$32*$X$32</f>
        <v>785.90396999999996</v>
      </c>
      <c r="AE32" s="4">
        <f>$K$32*$Y$32</f>
        <v>0</v>
      </c>
      <c r="AF32" s="4">
        <f ca="1">$M$32*$Z$32</f>
        <v>12634.372348428695</v>
      </c>
      <c r="AG32" s="4">
        <f>$O$32*$AA$32</f>
        <v>732.37541816599617</v>
      </c>
    </row>
    <row r="33" spans="1:33" ht="11.25" customHeight="1" x14ac:dyDescent="0.25">
      <c r="A33" s="3" t="s">
        <v>21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44652</v>
      </c>
      <c r="J33" s="4">
        <v>0</v>
      </c>
      <c r="K33" s="4">
        <v>0</v>
      </c>
      <c r="L33" s="4">
        <v>3.9569999999999999</v>
      </c>
      <c r="M33" s="4">
        <v>3.9569999999999999</v>
      </c>
      <c r="N33" s="4">
        <v>3.9569999999999999</v>
      </c>
      <c r="O33" s="4">
        <v>3.9569999999999999</v>
      </c>
      <c r="P33" s="4">
        <v>0</v>
      </c>
      <c r="Q33" s="3" t="s">
        <v>26</v>
      </c>
      <c r="R33" s="3">
        <v>0</v>
      </c>
      <c r="S33" s="4">
        <v>0</v>
      </c>
      <c r="T33" s="4">
        <v>13</v>
      </c>
      <c r="U33" s="4">
        <v>42</v>
      </c>
      <c r="V33" s="4">
        <f>IF(ISERROR(VLOOKUP($S$33,'TAR FIN'!$A$1:$O$88,15,0)),0,VLOOKUP($S$33,'TAR FIN'!$A$1:$O$88,15,0))</f>
        <v>0</v>
      </c>
      <c r="W33" s="4">
        <f>IF(ISERROR(VLOOKUP($T$33,'TAR FIN'!$A$1:$O$88,15,0)),0,VLOOKUP($T$33,'TAR FIN'!$A$1:$O$88,15,0))</f>
        <v>2490.0500000000002</v>
      </c>
      <c r="X33" s="4">
        <f>IF(ISERROR(VLOOKUP($U$33,'TAR FIN'!$A$1:$O$88,15,0)),0,VLOOKUP($U$33,'TAR FIN'!$A$1:$O$88,15,0))</f>
        <v>165.21</v>
      </c>
      <c r="Y33" s="4"/>
      <c r="Z33" s="4">
        <f ca="1">('TUSD BE'!$AM$11+'TUSD BF'!$AM$11+'TUSD CVA'!$AM$11)*1</f>
        <v>2655.9538256104047</v>
      </c>
      <c r="AA33" s="4">
        <f>('TE BE'!$AB$5+'TE BF'!$AB$5+'TE CVA'!$AB$5)*1</f>
        <v>153.95741395122897</v>
      </c>
      <c r="AB33" s="4">
        <f>$K$33*$V$33</f>
        <v>0</v>
      </c>
      <c r="AC33" s="4">
        <f>$M$33*$W$33</f>
        <v>9853.1278500000008</v>
      </c>
      <c r="AD33" s="4">
        <f>$O$33*$X$33</f>
        <v>653.73596999999995</v>
      </c>
      <c r="AE33" s="4">
        <f>$K$33*$Y$33</f>
        <v>0</v>
      </c>
      <c r="AF33" s="4">
        <f ca="1">$M$33*$Z$33</f>
        <v>10509.609287940371</v>
      </c>
      <c r="AG33" s="4">
        <f>$O$33*$AA$33</f>
        <v>609.20948700501299</v>
      </c>
    </row>
    <row r="34" spans="1:33" ht="11.25" customHeight="1" x14ac:dyDescent="0.25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37</v>
      </c>
      <c r="I34" s="6">
        <v>44682</v>
      </c>
      <c r="J34" s="4">
        <v>0</v>
      </c>
      <c r="K34" s="4">
        <v>0</v>
      </c>
      <c r="L34" s="4">
        <v>4.2359999999999998</v>
      </c>
      <c r="M34" s="4">
        <v>4.2359999999999998</v>
      </c>
      <c r="N34" s="4">
        <v>4.2359999999999998</v>
      </c>
      <c r="O34" s="4">
        <v>4.2359999999999998</v>
      </c>
      <c r="P34" s="4">
        <v>0</v>
      </c>
      <c r="Q34" s="3" t="s">
        <v>26</v>
      </c>
      <c r="R34" s="3">
        <v>0</v>
      </c>
      <c r="S34" s="4">
        <v>0</v>
      </c>
      <c r="T34" s="4">
        <v>13</v>
      </c>
      <c r="U34" s="4">
        <v>42</v>
      </c>
      <c r="V34" s="4">
        <f>IF(ISERROR(VLOOKUP($S$34,'TAR FIN'!$A$1:$O$88,15,0)),0,VLOOKUP($S$34,'TAR FIN'!$A$1:$O$88,15,0))</f>
        <v>0</v>
      </c>
      <c r="W34" s="4">
        <f>IF(ISERROR(VLOOKUP($T$34,'TAR FIN'!$A$1:$O$88,15,0)),0,VLOOKUP($T$34,'TAR FIN'!$A$1:$O$88,15,0))</f>
        <v>2490.0500000000002</v>
      </c>
      <c r="X34" s="4">
        <f>IF(ISERROR(VLOOKUP($U$34,'TAR FIN'!$A$1:$O$88,15,0)),0,VLOOKUP($U$34,'TAR FIN'!$A$1:$O$88,15,0))</f>
        <v>165.21</v>
      </c>
      <c r="Y34" s="4"/>
      <c r="Z34" s="4">
        <f ca="1">('TUSD BE'!$AM$11+'TUSD BF'!$AM$11+'TUSD CVA'!$AM$11)*1</f>
        <v>2655.9538256104047</v>
      </c>
      <c r="AA34" s="4">
        <f>('TE BE'!$AB$5+'TE BF'!$AB$5+'TE CVA'!$AB$5)*1</f>
        <v>153.95741395122897</v>
      </c>
      <c r="AB34" s="4">
        <f>$K$34*$V$34</f>
        <v>0</v>
      </c>
      <c r="AC34" s="4">
        <f>$M$34*$W$34</f>
        <v>10547.8518</v>
      </c>
      <c r="AD34" s="4">
        <f>$O$34*$X$34</f>
        <v>699.82956000000001</v>
      </c>
      <c r="AE34" s="4">
        <f>$K$34*$Y$34</f>
        <v>0</v>
      </c>
      <c r="AF34" s="4">
        <f ca="1">$M$34*$Z$34</f>
        <v>11250.620405285674</v>
      </c>
      <c r="AG34" s="4">
        <f>$O$34*$AA$34</f>
        <v>652.16360549740591</v>
      </c>
    </row>
    <row r="35" spans="1:33" ht="11.25" customHeight="1" x14ac:dyDescent="0.25">
      <c r="A35" s="3" t="s">
        <v>21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37</v>
      </c>
      <c r="I35" s="6">
        <v>44713</v>
      </c>
      <c r="J35" s="4">
        <v>0</v>
      </c>
      <c r="K35" s="4">
        <v>0</v>
      </c>
      <c r="L35" s="4">
        <v>5.4130000000000003</v>
      </c>
      <c r="M35" s="4">
        <v>5.4130000000000003</v>
      </c>
      <c r="N35" s="4">
        <v>5.4130000000000003</v>
      </c>
      <c r="O35" s="4">
        <v>5.4130000000000003</v>
      </c>
      <c r="P35" s="4">
        <v>0</v>
      </c>
      <c r="Q35" s="3" t="s">
        <v>26</v>
      </c>
      <c r="R35" s="3">
        <v>0</v>
      </c>
      <c r="S35" s="4">
        <v>0</v>
      </c>
      <c r="T35" s="4">
        <v>13</v>
      </c>
      <c r="U35" s="4">
        <v>42</v>
      </c>
      <c r="V35" s="4">
        <f>IF(ISERROR(VLOOKUP($S$35,'TAR FIN'!$A$1:$O$88,15,0)),0,VLOOKUP($S$35,'TAR FIN'!$A$1:$O$88,15,0))</f>
        <v>0</v>
      </c>
      <c r="W35" s="4">
        <f>IF(ISERROR(VLOOKUP($T$35,'TAR FIN'!$A$1:$O$88,15,0)),0,VLOOKUP($T$35,'TAR FIN'!$A$1:$O$88,15,0))</f>
        <v>2490.0500000000002</v>
      </c>
      <c r="X35" s="4">
        <f>IF(ISERROR(VLOOKUP($U$35,'TAR FIN'!$A$1:$O$88,15,0)),0,VLOOKUP($U$35,'TAR FIN'!$A$1:$O$88,15,0))</f>
        <v>165.21</v>
      </c>
      <c r="Y35" s="4"/>
      <c r="Z35" s="4">
        <f ca="1">('TUSD BE'!$AM$11+'TUSD BF'!$AM$11+'TUSD CVA'!$AM$11)*1</f>
        <v>2655.9538256104047</v>
      </c>
      <c r="AA35" s="4">
        <f>('TE BE'!$AB$5+'TE BF'!$AB$5+'TE CVA'!$AB$5)*1</f>
        <v>153.95741395122897</v>
      </c>
      <c r="AB35" s="4">
        <f>$K$35*$V$35</f>
        <v>0</v>
      </c>
      <c r="AC35" s="4">
        <f>$M$35*$W$35</f>
        <v>13478.640650000001</v>
      </c>
      <c r="AD35" s="4">
        <f>$O$35*$X$35</f>
        <v>894.28173000000004</v>
      </c>
      <c r="AE35" s="4">
        <f>$K$35*$Y$35</f>
        <v>0</v>
      </c>
      <c r="AF35" s="4">
        <f ca="1">$M$35*$Z$35</f>
        <v>14376.678058029122</v>
      </c>
      <c r="AG35" s="4">
        <f>$O$35*$AA$35</f>
        <v>833.37148171800243</v>
      </c>
    </row>
    <row r="36" spans="1:33" ht="11.25" customHeight="1" x14ac:dyDescent="0.25">
      <c r="A36" s="3" t="s">
        <v>21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37</v>
      </c>
      <c r="I36" s="6">
        <v>44743</v>
      </c>
      <c r="J36" s="4">
        <v>0</v>
      </c>
      <c r="K36" s="4">
        <v>0</v>
      </c>
      <c r="L36" s="4">
        <v>9.2430000000000003</v>
      </c>
      <c r="M36" s="4">
        <v>9.2430000000000003</v>
      </c>
      <c r="N36" s="4">
        <v>9.2430000000000003</v>
      </c>
      <c r="O36" s="4">
        <v>9.2430000000000003</v>
      </c>
      <c r="P36" s="4">
        <v>0</v>
      </c>
      <c r="Q36" s="3" t="s">
        <v>26</v>
      </c>
      <c r="R36" s="3">
        <v>0</v>
      </c>
      <c r="S36" s="4">
        <v>0</v>
      </c>
      <c r="T36" s="4">
        <v>13</v>
      </c>
      <c r="U36" s="4">
        <v>42</v>
      </c>
      <c r="V36" s="4">
        <f>IF(ISERROR(VLOOKUP($S$36,'TAR FIN'!$A$1:$O$88,15,0)),0,VLOOKUP($S$36,'TAR FIN'!$A$1:$O$88,15,0))</f>
        <v>0</v>
      </c>
      <c r="W36" s="4">
        <f>IF(ISERROR(VLOOKUP($T$36,'TAR FIN'!$A$1:$O$88,15,0)),0,VLOOKUP($T$36,'TAR FIN'!$A$1:$O$88,15,0))</f>
        <v>2490.0500000000002</v>
      </c>
      <c r="X36" s="4">
        <f>IF(ISERROR(VLOOKUP($U$36,'TAR FIN'!$A$1:$O$88,15,0)),0,VLOOKUP($U$36,'TAR FIN'!$A$1:$O$88,15,0))</f>
        <v>165.21</v>
      </c>
      <c r="Y36" s="4"/>
      <c r="Z36" s="4">
        <f ca="1">('TUSD BE'!$AM$11+'TUSD BF'!$AM$11+'TUSD CVA'!$AM$11)*1</f>
        <v>2655.9538256104047</v>
      </c>
      <c r="AA36" s="4">
        <f>('TE BE'!$AB$5+'TE BF'!$AB$5+'TE CVA'!$AB$5)*1</f>
        <v>153.95741395122897</v>
      </c>
      <c r="AB36" s="4">
        <f>$K$36*$V$36</f>
        <v>0</v>
      </c>
      <c r="AC36" s="4">
        <f>$M$36*$W$36</f>
        <v>23015.532150000003</v>
      </c>
      <c r="AD36" s="4">
        <f>$O$36*$X$36</f>
        <v>1527.0360300000002</v>
      </c>
      <c r="AE36" s="4">
        <f>$K$36*$Y$36</f>
        <v>0</v>
      </c>
      <c r="AF36" s="4">
        <f ca="1">$M$36*$Z$36</f>
        <v>24548.98121011697</v>
      </c>
      <c r="AG36" s="4">
        <f>$O$36*$AA$36</f>
        <v>1423.0283771512095</v>
      </c>
    </row>
    <row r="37" spans="1:33" ht="11.25" customHeight="1" x14ac:dyDescent="0.25">
      <c r="A37" s="3" t="s">
        <v>21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37</v>
      </c>
      <c r="I37" s="6">
        <v>44774</v>
      </c>
      <c r="J37" s="4">
        <v>0</v>
      </c>
      <c r="K37" s="4">
        <v>0</v>
      </c>
      <c r="L37" s="4">
        <v>7.31</v>
      </c>
      <c r="M37" s="4">
        <v>7.31</v>
      </c>
      <c r="N37" s="4">
        <v>7.31</v>
      </c>
      <c r="O37" s="4">
        <v>7.31</v>
      </c>
      <c r="P37" s="4">
        <v>0</v>
      </c>
      <c r="Q37" s="3" t="s">
        <v>26</v>
      </c>
      <c r="R37" s="3">
        <v>0</v>
      </c>
      <c r="S37" s="4">
        <v>0</v>
      </c>
      <c r="T37" s="4">
        <v>13</v>
      </c>
      <c r="U37" s="4">
        <v>42</v>
      </c>
      <c r="V37" s="4">
        <f>IF(ISERROR(VLOOKUP($S$37,'TAR FIN'!$A$1:$O$88,15,0)),0,VLOOKUP($S$37,'TAR FIN'!$A$1:$O$88,15,0))</f>
        <v>0</v>
      </c>
      <c r="W37" s="4">
        <f>IF(ISERROR(VLOOKUP($T$37,'TAR FIN'!$A$1:$O$88,15,0)),0,VLOOKUP($T$37,'TAR FIN'!$A$1:$O$88,15,0))</f>
        <v>2490.0500000000002</v>
      </c>
      <c r="X37" s="4">
        <f>IF(ISERROR(VLOOKUP($U$37,'TAR FIN'!$A$1:$O$88,15,0)),0,VLOOKUP($U$37,'TAR FIN'!$A$1:$O$88,15,0))</f>
        <v>165.21</v>
      </c>
      <c r="Y37" s="4"/>
      <c r="Z37" s="4">
        <f ca="1">('TUSD BE'!$AM$11+'TUSD BF'!$AM$11+'TUSD CVA'!$AM$11)*1</f>
        <v>2655.9538256104047</v>
      </c>
      <c r="AA37" s="4">
        <f>('TE BE'!$AB$5+'TE BF'!$AB$5+'TE CVA'!$AB$5)*1</f>
        <v>153.95741395122897</v>
      </c>
      <c r="AB37" s="4">
        <f>$K$37*$V$37</f>
        <v>0</v>
      </c>
      <c r="AC37" s="4">
        <f>$M$37*$W$37</f>
        <v>18202.265500000001</v>
      </c>
      <c r="AD37" s="4">
        <f>$O$37*$X$37</f>
        <v>1207.6850999999999</v>
      </c>
      <c r="AE37" s="4">
        <f>$K$37*$Y$37</f>
        <v>0</v>
      </c>
      <c r="AF37" s="4">
        <f ca="1">$M$37*$Z$37</f>
        <v>19415.022465212056</v>
      </c>
      <c r="AG37" s="4">
        <f>$O$37*$AA$37</f>
        <v>1125.4286959834837</v>
      </c>
    </row>
    <row r="38" spans="1:33" ht="11.25" customHeight="1" x14ac:dyDescent="0.25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44440</v>
      </c>
      <c r="J38" s="4">
        <v>0</v>
      </c>
      <c r="K38" s="4">
        <v>0</v>
      </c>
      <c r="L38" s="4">
        <v>417.584</v>
      </c>
      <c r="M38" s="4">
        <v>417.584</v>
      </c>
      <c r="N38" s="4">
        <v>417.584</v>
      </c>
      <c r="O38" s="4">
        <v>417.584</v>
      </c>
      <c r="P38" s="4">
        <v>0</v>
      </c>
      <c r="Q38" s="3" t="s">
        <v>26</v>
      </c>
      <c r="R38" s="3">
        <v>0</v>
      </c>
      <c r="S38" s="4">
        <v>0</v>
      </c>
      <c r="T38" s="4">
        <v>11</v>
      </c>
      <c r="U38" s="4">
        <v>56</v>
      </c>
      <c r="V38" s="4">
        <f>IF(ISERROR(VLOOKUP($S$38,'TAR FIN'!$A$1:$O$88,15,0)),0,VLOOKUP($S$38,'TAR FIN'!$A$1:$O$88,15,0))</f>
        <v>0</v>
      </c>
      <c r="W38" s="4">
        <f>IF(ISERROR(VLOOKUP($T$38,'TAR FIN'!$A$1:$O$88,15,0)),0,VLOOKUP($T$38,'TAR FIN'!$A$1:$O$88,15,0))</f>
        <v>67.52</v>
      </c>
      <c r="X38" s="4">
        <f>IF(ISERROR(VLOOKUP($U$38,'TAR FIN'!$A$1:$O$88,15,0)),0,VLOOKUP($U$38,'TAR FIN'!$A$1:$O$88,15,0))</f>
        <v>165.21</v>
      </c>
      <c r="Y38" s="4"/>
      <c r="Z38" s="4">
        <f ca="1">('TUSD BE'!$AM$12+'TUSD BF'!$AM$12+'TUSD CVA'!$AM$12)*1</f>
        <v>97.446478745899796</v>
      </c>
      <c r="AA38" s="4">
        <f>('TE BE'!$AB$6+'TE BF'!$AB$6+'TE CVA'!$AB$6)*1</f>
        <v>153.95741395122897</v>
      </c>
      <c r="AB38" s="4">
        <f>$K$38*$V$38</f>
        <v>0</v>
      </c>
      <c r="AC38" s="4">
        <f>$M$38*$W$38</f>
        <v>28195.271679999998</v>
      </c>
      <c r="AD38" s="4">
        <f>$O$38*$X$38</f>
        <v>68989.052640000009</v>
      </c>
      <c r="AE38" s="4">
        <f>$K$38*$Y$38</f>
        <v>0</v>
      </c>
      <c r="AF38" s="4">
        <f ca="1">$M$38*$Z$38</f>
        <v>40692.090380627822</v>
      </c>
      <c r="AG38" s="4">
        <f>$O$38*$AA$38</f>
        <v>64290.15274741</v>
      </c>
    </row>
    <row r="39" spans="1:33" ht="11.25" customHeight="1" x14ac:dyDescent="0.25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44470</v>
      </c>
      <c r="J39" s="4">
        <v>0</v>
      </c>
      <c r="K39" s="4">
        <v>0</v>
      </c>
      <c r="L39" s="4">
        <v>426.51400000000001</v>
      </c>
      <c r="M39" s="4">
        <v>426.51400000000001</v>
      </c>
      <c r="N39" s="4">
        <v>426.51400000000001</v>
      </c>
      <c r="O39" s="4">
        <v>426.51400000000001</v>
      </c>
      <c r="P39" s="4">
        <v>0</v>
      </c>
      <c r="Q39" s="3" t="s">
        <v>26</v>
      </c>
      <c r="R39" s="3">
        <v>0</v>
      </c>
      <c r="S39" s="4">
        <v>0</v>
      </c>
      <c r="T39" s="4">
        <v>11</v>
      </c>
      <c r="U39" s="4">
        <v>56</v>
      </c>
      <c r="V39" s="4">
        <f>IF(ISERROR(VLOOKUP($S$39,'TAR FIN'!$A$1:$O$88,15,0)),0,VLOOKUP($S$39,'TAR FIN'!$A$1:$O$88,15,0))</f>
        <v>0</v>
      </c>
      <c r="W39" s="4">
        <f>IF(ISERROR(VLOOKUP($T$39,'TAR FIN'!$A$1:$O$88,15,0)),0,VLOOKUP($T$39,'TAR FIN'!$A$1:$O$88,15,0))</f>
        <v>67.52</v>
      </c>
      <c r="X39" s="4">
        <f>IF(ISERROR(VLOOKUP($U$39,'TAR FIN'!$A$1:$O$88,15,0)),0,VLOOKUP($U$39,'TAR FIN'!$A$1:$O$88,15,0))</f>
        <v>165.21</v>
      </c>
      <c r="Y39" s="4"/>
      <c r="Z39" s="4">
        <f ca="1">('TUSD BE'!$AM$12+'TUSD BF'!$AM$12+'TUSD CVA'!$AM$12)*1</f>
        <v>97.446478745899796</v>
      </c>
      <c r="AA39" s="4">
        <f>('TE BE'!$AB$6+'TE BF'!$AB$6+'TE CVA'!$AB$6)*1</f>
        <v>153.95741395122897</v>
      </c>
      <c r="AB39" s="4">
        <f>$K$39*$V$39</f>
        <v>0</v>
      </c>
      <c r="AC39" s="4">
        <f>$M$39*$W$39</f>
        <v>28798.225279999999</v>
      </c>
      <c r="AD39" s="4">
        <f>$O$39*$X$39</f>
        <v>70464.377940000006</v>
      </c>
      <c r="AE39" s="4">
        <f>$K$39*$Y$39</f>
        <v>0</v>
      </c>
      <c r="AF39" s="4">
        <f ca="1">$M$39*$Z$39</f>
        <v>41562.287435828708</v>
      </c>
      <c r="AG39" s="4">
        <f>$O$39*$AA$39</f>
        <v>65664.992453994477</v>
      </c>
    </row>
    <row r="40" spans="1:33" ht="11.25" customHeight="1" x14ac:dyDescent="0.25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44501</v>
      </c>
      <c r="J40" s="4">
        <v>0</v>
      </c>
      <c r="K40" s="4">
        <v>0</v>
      </c>
      <c r="L40" s="4">
        <v>470.85</v>
      </c>
      <c r="M40" s="4">
        <v>470.85</v>
      </c>
      <c r="N40" s="4">
        <v>470.85</v>
      </c>
      <c r="O40" s="4">
        <v>470.85</v>
      </c>
      <c r="P40" s="4">
        <v>0</v>
      </c>
      <c r="Q40" s="3" t="s">
        <v>26</v>
      </c>
      <c r="R40" s="3">
        <v>0</v>
      </c>
      <c r="S40" s="4">
        <v>0</v>
      </c>
      <c r="T40" s="4">
        <v>11</v>
      </c>
      <c r="U40" s="4">
        <v>56</v>
      </c>
      <c r="V40" s="4">
        <f>IF(ISERROR(VLOOKUP($S$40,'TAR FIN'!$A$1:$O$88,15,0)),0,VLOOKUP($S$40,'TAR FIN'!$A$1:$O$88,15,0))</f>
        <v>0</v>
      </c>
      <c r="W40" s="4">
        <f>IF(ISERROR(VLOOKUP($T$40,'TAR FIN'!$A$1:$O$88,15,0)),0,VLOOKUP($T$40,'TAR FIN'!$A$1:$O$88,15,0))</f>
        <v>67.52</v>
      </c>
      <c r="X40" s="4">
        <f>IF(ISERROR(VLOOKUP($U$40,'TAR FIN'!$A$1:$O$88,15,0)),0,VLOOKUP($U$40,'TAR FIN'!$A$1:$O$88,15,0))</f>
        <v>165.21</v>
      </c>
      <c r="Y40" s="4"/>
      <c r="Z40" s="4">
        <f ca="1">('TUSD BE'!$AM$12+'TUSD BF'!$AM$12+'TUSD CVA'!$AM$12)*1</f>
        <v>97.446478745899796</v>
      </c>
      <c r="AA40" s="4">
        <f>('TE BE'!$AB$6+'TE BF'!$AB$6+'TE CVA'!$AB$6)*1</f>
        <v>153.95741395122897</v>
      </c>
      <c r="AB40" s="4">
        <f>$K$40*$V$40</f>
        <v>0</v>
      </c>
      <c r="AC40" s="4">
        <f>$M$40*$W$40</f>
        <v>31791.792000000001</v>
      </c>
      <c r="AD40" s="4">
        <f>$O$40*$X$40</f>
        <v>77789.128500000006</v>
      </c>
      <c r="AE40" s="4">
        <f>$K$40*$Y$40</f>
        <v>0</v>
      </c>
      <c r="AF40" s="4">
        <f ca="1">$M$40*$Z$40</f>
        <v>45882.674517506923</v>
      </c>
      <c r="AG40" s="4">
        <f>$O$40*$AA$40</f>
        <v>72490.848358936171</v>
      </c>
    </row>
    <row r="41" spans="1:33" ht="11.25" customHeight="1" x14ac:dyDescent="0.25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44531</v>
      </c>
      <c r="J41" s="4">
        <v>0</v>
      </c>
      <c r="K41" s="4">
        <v>0</v>
      </c>
      <c r="L41" s="4">
        <v>340.99400000000003</v>
      </c>
      <c r="M41" s="4">
        <v>340.99400000000003</v>
      </c>
      <c r="N41" s="4">
        <v>340.99400000000003</v>
      </c>
      <c r="O41" s="4">
        <v>340.99400000000003</v>
      </c>
      <c r="P41" s="4">
        <v>0</v>
      </c>
      <c r="Q41" s="3" t="s">
        <v>26</v>
      </c>
      <c r="R41" s="3">
        <v>0</v>
      </c>
      <c r="S41" s="4">
        <v>0</v>
      </c>
      <c r="T41" s="4">
        <v>11</v>
      </c>
      <c r="U41" s="4">
        <v>56</v>
      </c>
      <c r="V41" s="4">
        <f>IF(ISERROR(VLOOKUP($S$41,'TAR FIN'!$A$1:$O$88,15,0)),0,VLOOKUP($S$41,'TAR FIN'!$A$1:$O$88,15,0))</f>
        <v>0</v>
      </c>
      <c r="W41" s="4">
        <f>IF(ISERROR(VLOOKUP($T$41,'TAR FIN'!$A$1:$O$88,15,0)),0,VLOOKUP($T$41,'TAR FIN'!$A$1:$O$88,15,0))</f>
        <v>67.52</v>
      </c>
      <c r="X41" s="4">
        <f>IF(ISERROR(VLOOKUP($U$41,'TAR FIN'!$A$1:$O$88,15,0)),0,VLOOKUP($U$41,'TAR FIN'!$A$1:$O$88,15,0))</f>
        <v>165.21</v>
      </c>
      <c r="Y41" s="4"/>
      <c r="Z41" s="4">
        <f ca="1">('TUSD BE'!$AM$12+'TUSD BF'!$AM$12+'TUSD CVA'!$AM$12)*1</f>
        <v>97.446478745899796</v>
      </c>
      <c r="AA41" s="4">
        <f>('TE BE'!$AB$6+'TE BF'!$AB$6+'TE CVA'!$AB$6)*1</f>
        <v>153.95741395122897</v>
      </c>
      <c r="AB41" s="4">
        <f>$K$41*$V$41</f>
        <v>0</v>
      </c>
      <c r="AC41" s="4">
        <f>$M$41*$W$41</f>
        <v>23023.91488</v>
      </c>
      <c r="AD41" s="4">
        <f>$O$41*$X$41</f>
        <v>56335.618740000005</v>
      </c>
      <c r="AE41" s="4">
        <f>$K$41*$Y$41</f>
        <v>0</v>
      </c>
      <c r="AF41" s="4">
        <f ca="1">$M$41*$Z$41</f>
        <v>33228.664573479356</v>
      </c>
      <c r="AG41" s="4">
        <f>$O$41*$AA$41</f>
        <v>52498.55441288538</v>
      </c>
    </row>
    <row r="42" spans="1:33" ht="11.25" customHeight="1" x14ac:dyDescent="0.25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44562</v>
      </c>
      <c r="J42" s="4">
        <v>0</v>
      </c>
      <c r="K42" s="4">
        <v>0</v>
      </c>
      <c r="L42" s="4">
        <v>384.94299999999998</v>
      </c>
      <c r="M42" s="4">
        <v>384.94299999999998</v>
      </c>
      <c r="N42" s="4">
        <v>384.94299999999998</v>
      </c>
      <c r="O42" s="4">
        <v>384.94299999999998</v>
      </c>
      <c r="P42" s="4">
        <v>0</v>
      </c>
      <c r="Q42" s="3" t="s">
        <v>26</v>
      </c>
      <c r="R42" s="3">
        <v>0</v>
      </c>
      <c r="S42" s="4">
        <v>0</v>
      </c>
      <c r="T42" s="4">
        <v>11</v>
      </c>
      <c r="U42" s="4">
        <v>56</v>
      </c>
      <c r="V42" s="4">
        <f>IF(ISERROR(VLOOKUP($S$42,'TAR FIN'!$A$1:$O$88,15,0)),0,VLOOKUP($S$42,'TAR FIN'!$A$1:$O$88,15,0))</f>
        <v>0</v>
      </c>
      <c r="W42" s="4">
        <f>IF(ISERROR(VLOOKUP($T$42,'TAR FIN'!$A$1:$O$88,15,0)),0,VLOOKUP($T$42,'TAR FIN'!$A$1:$O$88,15,0))</f>
        <v>67.52</v>
      </c>
      <c r="X42" s="4">
        <f>IF(ISERROR(VLOOKUP($U$42,'TAR FIN'!$A$1:$O$88,15,0)),0,VLOOKUP($U$42,'TAR FIN'!$A$1:$O$88,15,0))</f>
        <v>165.21</v>
      </c>
      <c r="Y42" s="4"/>
      <c r="Z42" s="4">
        <f ca="1">('TUSD BE'!$AM$12+'TUSD BF'!$AM$12+'TUSD CVA'!$AM$12)*1</f>
        <v>97.446478745899796</v>
      </c>
      <c r="AA42" s="4">
        <f>('TE BE'!$AB$6+'TE BF'!$AB$6+'TE CVA'!$AB$6)*1</f>
        <v>153.95741395122897</v>
      </c>
      <c r="AB42" s="4">
        <f>$K$42*$V$42</f>
        <v>0</v>
      </c>
      <c r="AC42" s="4">
        <f>$M$42*$W$42</f>
        <v>25991.351359999997</v>
      </c>
      <c r="AD42" s="4">
        <f>$O$42*$X$42</f>
        <v>63596.43303</v>
      </c>
      <c r="AE42" s="4">
        <f>$K$42*$Y$42</f>
        <v>0</v>
      </c>
      <c r="AF42" s="4">
        <f ca="1">$M$42*$Z$42</f>
        <v>37511.339867882903</v>
      </c>
      <c r="AG42" s="4">
        <f>$O$42*$AA$42</f>
        <v>59264.828798627932</v>
      </c>
    </row>
    <row r="43" spans="1:33" ht="11.25" customHeight="1" x14ac:dyDescent="0.25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38</v>
      </c>
      <c r="I43" s="6">
        <v>44593</v>
      </c>
      <c r="J43" s="4">
        <v>0</v>
      </c>
      <c r="K43" s="4">
        <v>0</v>
      </c>
      <c r="L43" s="4">
        <v>372.32100000000003</v>
      </c>
      <c r="M43" s="4">
        <v>372.32100000000003</v>
      </c>
      <c r="N43" s="4">
        <v>372.32100000000003</v>
      </c>
      <c r="O43" s="4">
        <v>372.32100000000003</v>
      </c>
      <c r="P43" s="4">
        <v>0</v>
      </c>
      <c r="Q43" s="3" t="s">
        <v>26</v>
      </c>
      <c r="R43" s="3">
        <v>0</v>
      </c>
      <c r="S43" s="4">
        <v>0</v>
      </c>
      <c r="T43" s="4">
        <v>11</v>
      </c>
      <c r="U43" s="4">
        <v>56</v>
      </c>
      <c r="V43" s="4">
        <f>IF(ISERROR(VLOOKUP($S$43,'TAR FIN'!$A$1:$O$88,15,0)),0,VLOOKUP($S$43,'TAR FIN'!$A$1:$O$88,15,0))</f>
        <v>0</v>
      </c>
      <c r="W43" s="4">
        <f>IF(ISERROR(VLOOKUP($T$43,'TAR FIN'!$A$1:$O$88,15,0)),0,VLOOKUP($T$43,'TAR FIN'!$A$1:$O$88,15,0))</f>
        <v>67.52</v>
      </c>
      <c r="X43" s="4">
        <f>IF(ISERROR(VLOOKUP($U$43,'TAR FIN'!$A$1:$O$88,15,0)),0,VLOOKUP($U$43,'TAR FIN'!$A$1:$O$88,15,0))</f>
        <v>165.21</v>
      </c>
      <c r="Y43" s="4"/>
      <c r="Z43" s="4">
        <f ca="1">('TUSD BE'!$AM$12+'TUSD BF'!$AM$12+'TUSD CVA'!$AM$12)*1</f>
        <v>97.446478745899796</v>
      </c>
      <c r="AA43" s="4">
        <f>('TE BE'!$AB$6+'TE BF'!$AB$6+'TE CVA'!$AB$6)*1</f>
        <v>153.95741395122897</v>
      </c>
      <c r="AB43" s="4">
        <f>$K$43*$V$43</f>
        <v>0</v>
      </c>
      <c r="AC43" s="4">
        <f>$M$43*$W$43</f>
        <v>25139.11392</v>
      </c>
      <c r="AD43" s="4">
        <f>$O$43*$X$43</f>
        <v>61511.15241000001</v>
      </c>
      <c r="AE43" s="4">
        <f>$K$43*$Y$43</f>
        <v>0</v>
      </c>
      <c r="AF43" s="4">
        <f ca="1">$M$43*$Z$43</f>
        <v>36281.370413152159</v>
      </c>
      <c r="AG43" s="4">
        <f>$O$43*$AA$43</f>
        <v>57321.578319735527</v>
      </c>
    </row>
    <row r="44" spans="1:33" ht="11.25" customHeight="1" x14ac:dyDescent="0.25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38</v>
      </c>
      <c r="I44" s="6">
        <v>44621</v>
      </c>
      <c r="J44" s="4">
        <v>0</v>
      </c>
      <c r="K44" s="4">
        <v>0</v>
      </c>
      <c r="L44" s="4">
        <v>458.96</v>
      </c>
      <c r="M44" s="4">
        <v>458.96</v>
      </c>
      <c r="N44" s="4">
        <v>458.96</v>
      </c>
      <c r="O44" s="4">
        <v>458.96</v>
      </c>
      <c r="P44" s="4">
        <v>0</v>
      </c>
      <c r="Q44" s="3" t="s">
        <v>26</v>
      </c>
      <c r="R44" s="3">
        <v>0</v>
      </c>
      <c r="S44" s="4">
        <v>0</v>
      </c>
      <c r="T44" s="4">
        <v>11</v>
      </c>
      <c r="U44" s="4">
        <v>56</v>
      </c>
      <c r="V44" s="4">
        <f>IF(ISERROR(VLOOKUP($S$44,'TAR FIN'!$A$1:$O$88,15,0)),0,VLOOKUP($S$44,'TAR FIN'!$A$1:$O$88,15,0))</f>
        <v>0</v>
      </c>
      <c r="W44" s="4">
        <f>IF(ISERROR(VLOOKUP($T$44,'TAR FIN'!$A$1:$O$88,15,0)),0,VLOOKUP($T$44,'TAR FIN'!$A$1:$O$88,15,0))</f>
        <v>67.52</v>
      </c>
      <c r="X44" s="4">
        <f>IF(ISERROR(VLOOKUP($U$44,'TAR FIN'!$A$1:$O$88,15,0)),0,VLOOKUP($U$44,'TAR FIN'!$A$1:$O$88,15,0))</f>
        <v>165.21</v>
      </c>
      <c r="Y44" s="4"/>
      <c r="Z44" s="4">
        <f ca="1">('TUSD BE'!$AM$12+'TUSD BF'!$AM$12+'TUSD CVA'!$AM$12)*1</f>
        <v>97.446478745899796</v>
      </c>
      <c r="AA44" s="4">
        <f>('TE BE'!$AB$6+'TE BF'!$AB$6+'TE CVA'!$AB$6)*1</f>
        <v>153.95741395122897</v>
      </c>
      <c r="AB44" s="4">
        <f>$K$44*$V$44</f>
        <v>0</v>
      </c>
      <c r="AC44" s="4">
        <f>$M$44*$W$44</f>
        <v>30988.979199999998</v>
      </c>
      <c r="AD44" s="4">
        <f>$O$44*$X$44</f>
        <v>75824.781600000002</v>
      </c>
      <c r="AE44" s="4">
        <f>$K$44*$Y$44</f>
        <v>0</v>
      </c>
      <c r="AF44" s="4">
        <f ca="1">$M$44*$Z$44</f>
        <v>44724.035885218167</v>
      </c>
      <c r="AG44" s="4">
        <f>$O$44*$AA$44</f>
        <v>70660.294707056048</v>
      </c>
    </row>
    <row r="45" spans="1:33" ht="11.25" customHeight="1" x14ac:dyDescent="0.25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38</v>
      </c>
      <c r="I45" s="6">
        <v>44652</v>
      </c>
      <c r="J45" s="4">
        <v>0</v>
      </c>
      <c r="K45" s="4">
        <v>0</v>
      </c>
      <c r="L45" s="4">
        <v>356.53100000000001</v>
      </c>
      <c r="M45" s="4">
        <v>356.53100000000001</v>
      </c>
      <c r="N45" s="4">
        <v>356.53100000000001</v>
      </c>
      <c r="O45" s="4">
        <v>356.53100000000001</v>
      </c>
      <c r="P45" s="4">
        <v>0</v>
      </c>
      <c r="Q45" s="3" t="s">
        <v>26</v>
      </c>
      <c r="R45" s="3">
        <v>0</v>
      </c>
      <c r="S45" s="4">
        <v>0</v>
      </c>
      <c r="T45" s="4">
        <v>11</v>
      </c>
      <c r="U45" s="4">
        <v>56</v>
      </c>
      <c r="V45" s="4">
        <f>IF(ISERROR(VLOOKUP($S$45,'TAR FIN'!$A$1:$O$88,15,0)),0,VLOOKUP($S$45,'TAR FIN'!$A$1:$O$88,15,0))</f>
        <v>0</v>
      </c>
      <c r="W45" s="4">
        <f>IF(ISERROR(VLOOKUP($T$45,'TAR FIN'!$A$1:$O$88,15,0)),0,VLOOKUP($T$45,'TAR FIN'!$A$1:$O$88,15,0))</f>
        <v>67.52</v>
      </c>
      <c r="X45" s="4">
        <f>IF(ISERROR(VLOOKUP($U$45,'TAR FIN'!$A$1:$O$88,15,0)),0,VLOOKUP($U$45,'TAR FIN'!$A$1:$O$88,15,0))</f>
        <v>165.21</v>
      </c>
      <c r="Y45" s="4"/>
      <c r="Z45" s="4">
        <f ca="1">('TUSD BE'!$AM$12+'TUSD BF'!$AM$12+'TUSD CVA'!$AM$12)*1</f>
        <v>97.446478745899796</v>
      </c>
      <c r="AA45" s="4">
        <f>('TE BE'!$AB$6+'TE BF'!$AB$6+'TE CVA'!$AB$6)*1</f>
        <v>153.95741395122897</v>
      </c>
      <c r="AB45" s="4">
        <f>$K$45*$V$45</f>
        <v>0</v>
      </c>
      <c r="AC45" s="4">
        <f>$M$45*$W$45</f>
        <v>24072.973119999999</v>
      </c>
      <c r="AD45" s="4">
        <f>$O$45*$X$45</f>
        <v>58902.486510000002</v>
      </c>
      <c r="AE45" s="4">
        <f>$K$45*$Y$45</f>
        <v>0</v>
      </c>
      <c r="AF45" s="4">
        <f ca="1">$M$45*$Z$45</f>
        <v>34742.690513754402</v>
      </c>
      <c r="AG45" s="4">
        <f>$O$45*$AA$45</f>
        <v>54890.59075344562</v>
      </c>
    </row>
    <row r="46" spans="1:33" ht="11.25" customHeight="1" x14ac:dyDescent="0.25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38</v>
      </c>
      <c r="I46" s="6">
        <v>44682</v>
      </c>
      <c r="J46" s="4">
        <v>0</v>
      </c>
      <c r="K46" s="4">
        <v>0</v>
      </c>
      <c r="L46" s="4">
        <v>349.80900000000003</v>
      </c>
      <c r="M46" s="4">
        <v>349.80900000000003</v>
      </c>
      <c r="N46" s="4">
        <v>349.80900000000003</v>
      </c>
      <c r="O46" s="4">
        <v>349.80900000000003</v>
      </c>
      <c r="P46" s="4">
        <v>0</v>
      </c>
      <c r="Q46" s="3" t="s">
        <v>26</v>
      </c>
      <c r="R46" s="3">
        <v>0</v>
      </c>
      <c r="S46" s="4">
        <v>0</v>
      </c>
      <c r="T46" s="4">
        <v>11</v>
      </c>
      <c r="U46" s="4">
        <v>56</v>
      </c>
      <c r="V46" s="4">
        <f>IF(ISERROR(VLOOKUP($S$46,'TAR FIN'!$A$1:$O$88,15,0)),0,VLOOKUP($S$46,'TAR FIN'!$A$1:$O$88,15,0))</f>
        <v>0</v>
      </c>
      <c r="W46" s="4">
        <f>IF(ISERROR(VLOOKUP($T$46,'TAR FIN'!$A$1:$O$88,15,0)),0,VLOOKUP($T$46,'TAR FIN'!$A$1:$O$88,15,0))</f>
        <v>67.52</v>
      </c>
      <c r="X46" s="4">
        <f>IF(ISERROR(VLOOKUP($U$46,'TAR FIN'!$A$1:$O$88,15,0)),0,VLOOKUP($U$46,'TAR FIN'!$A$1:$O$88,15,0))</f>
        <v>165.21</v>
      </c>
      <c r="Y46" s="4"/>
      <c r="Z46" s="4">
        <f ca="1">('TUSD BE'!$AM$12+'TUSD BF'!$AM$12+'TUSD CVA'!$AM$12)*1</f>
        <v>97.446478745899796</v>
      </c>
      <c r="AA46" s="4">
        <f>('TE BE'!$AB$6+'TE BF'!$AB$6+'TE CVA'!$AB$6)*1</f>
        <v>153.95741395122897</v>
      </c>
      <c r="AB46" s="4">
        <f>$K$46*$V$46</f>
        <v>0</v>
      </c>
      <c r="AC46" s="4">
        <f>$M$46*$W$46</f>
        <v>23619.10368</v>
      </c>
      <c r="AD46" s="4">
        <f>$O$46*$X$46</f>
        <v>57791.944890000006</v>
      </c>
      <c r="AE46" s="4">
        <f>$K$46*$Y$46</f>
        <v>0</v>
      </c>
      <c r="AF46" s="4">
        <f ca="1">$M$46*$Z$46</f>
        <v>34087.655283624466</v>
      </c>
      <c r="AG46" s="4">
        <f>$O$46*$AA$46</f>
        <v>53855.689016865457</v>
      </c>
    </row>
    <row r="47" spans="1:33" ht="11.25" customHeight="1" x14ac:dyDescent="0.25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38</v>
      </c>
      <c r="I47" s="6">
        <v>44713</v>
      </c>
      <c r="J47" s="4">
        <v>0</v>
      </c>
      <c r="K47" s="4">
        <v>0</v>
      </c>
      <c r="L47" s="4">
        <v>323.94200000000001</v>
      </c>
      <c r="M47" s="4">
        <v>323.94200000000001</v>
      </c>
      <c r="N47" s="4">
        <v>323.94200000000001</v>
      </c>
      <c r="O47" s="4">
        <v>323.94200000000001</v>
      </c>
      <c r="P47" s="4">
        <v>0</v>
      </c>
      <c r="Q47" s="3" t="s">
        <v>26</v>
      </c>
      <c r="R47" s="3">
        <v>0</v>
      </c>
      <c r="S47" s="4">
        <v>0</v>
      </c>
      <c r="T47" s="4">
        <v>11</v>
      </c>
      <c r="U47" s="4">
        <v>56</v>
      </c>
      <c r="V47" s="4">
        <f>IF(ISERROR(VLOOKUP($S$47,'TAR FIN'!$A$1:$O$88,15,0)),0,VLOOKUP($S$47,'TAR FIN'!$A$1:$O$88,15,0))</f>
        <v>0</v>
      </c>
      <c r="W47" s="4">
        <f>IF(ISERROR(VLOOKUP($T$47,'TAR FIN'!$A$1:$O$88,15,0)),0,VLOOKUP($T$47,'TAR FIN'!$A$1:$O$88,15,0))</f>
        <v>67.52</v>
      </c>
      <c r="X47" s="4">
        <f>IF(ISERROR(VLOOKUP($U$47,'TAR FIN'!$A$1:$O$88,15,0)),0,VLOOKUP($U$47,'TAR FIN'!$A$1:$O$88,15,0))</f>
        <v>165.21</v>
      </c>
      <c r="Y47" s="4"/>
      <c r="Z47" s="4">
        <f ca="1">('TUSD BE'!$AM$12+'TUSD BF'!$AM$12+'TUSD CVA'!$AM$12)*1</f>
        <v>97.446478745899796</v>
      </c>
      <c r="AA47" s="4">
        <f>('TE BE'!$AB$6+'TE BF'!$AB$6+'TE CVA'!$AB$6)*1</f>
        <v>153.95741395122897</v>
      </c>
      <c r="AB47" s="4">
        <f>$K$47*$V$47</f>
        <v>0</v>
      </c>
      <c r="AC47" s="4">
        <f>$M$47*$W$47</f>
        <v>21872.563839999999</v>
      </c>
      <c r="AD47" s="4">
        <f>$O$47*$X$47</f>
        <v>53518.457820000003</v>
      </c>
      <c r="AE47" s="4">
        <f>$K$47*$Y$47</f>
        <v>0</v>
      </c>
      <c r="AF47" s="4">
        <f ca="1">$M$47*$Z$47</f>
        <v>31567.007217904273</v>
      </c>
      <c r="AG47" s="4">
        <f>$O$47*$AA$47</f>
        <v>49873.272590189015</v>
      </c>
    </row>
    <row r="48" spans="1:33" ht="11.25" customHeight="1" x14ac:dyDescent="0.25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38</v>
      </c>
      <c r="I48" s="6">
        <v>44743</v>
      </c>
      <c r="J48" s="4">
        <v>0</v>
      </c>
      <c r="K48" s="4">
        <v>0</v>
      </c>
      <c r="L48" s="4">
        <v>357.012</v>
      </c>
      <c r="M48" s="4">
        <v>357.012</v>
      </c>
      <c r="N48" s="4">
        <v>357.012</v>
      </c>
      <c r="O48" s="4">
        <v>357.012</v>
      </c>
      <c r="P48" s="4">
        <v>0</v>
      </c>
      <c r="Q48" s="3" t="s">
        <v>26</v>
      </c>
      <c r="R48" s="3">
        <v>0</v>
      </c>
      <c r="S48" s="4">
        <v>0</v>
      </c>
      <c r="T48" s="4">
        <v>11</v>
      </c>
      <c r="U48" s="4">
        <v>56</v>
      </c>
      <c r="V48" s="4">
        <f>IF(ISERROR(VLOOKUP($S$48,'TAR FIN'!$A$1:$O$88,15,0)),0,VLOOKUP($S$48,'TAR FIN'!$A$1:$O$88,15,0))</f>
        <v>0</v>
      </c>
      <c r="W48" s="4">
        <f>IF(ISERROR(VLOOKUP($T$48,'TAR FIN'!$A$1:$O$88,15,0)),0,VLOOKUP($T$48,'TAR FIN'!$A$1:$O$88,15,0))</f>
        <v>67.52</v>
      </c>
      <c r="X48" s="4">
        <f>IF(ISERROR(VLOOKUP($U$48,'TAR FIN'!$A$1:$O$88,15,0)),0,VLOOKUP($U$48,'TAR FIN'!$A$1:$O$88,15,0))</f>
        <v>165.21</v>
      </c>
      <c r="Y48" s="4"/>
      <c r="Z48" s="4">
        <f ca="1">('TUSD BE'!$AM$12+'TUSD BF'!$AM$12+'TUSD CVA'!$AM$12)*1</f>
        <v>97.446478745899796</v>
      </c>
      <c r="AA48" s="4">
        <f>('TE BE'!$AB$6+'TE BF'!$AB$6+'TE CVA'!$AB$6)*1</f>
        <v>153.95741395122897</v>
      </c>
      <c r="AB48" s="4">
        <f>$K$48*$V$48</f>
        <v>0</v>
      </c>
      <c r="AC48" s="4">
        <f>$M$48*$W$48</f>
        <v>24105.450239999998</v>
      </c>
      <c r="AD48" s="4">
        <f>$O$48*$X$48</f>
        <v>58981.952520000006</v>
      </c>
      <c r="AE48" s="4">
        <f>$K$48*$Y$48</f>
        <v>0</v>
      </c>
      <c r="AF48" s="4">
        <f ca="1">$M$48*$Z$48</f>
        <v>34789.56227003118</v>
      </c>
      <c r="AG48" s="4">
        <f>$O$48*$AA$48</f>
        <v>54964.644269556156</v>
      </c>
    </row>
    <row r="49" spans="1:33" ht="11.25" customHeight="1" x14ac:dyDescent="0.25">
      <c r="A49" s="3" t="s">
        <v>21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38</v>
      </c>
      <c r="I49" s="6">
        <v>44774</v>
      </c>
      <c r="J49" s="4">
        <v>0</v>
      </c>
      <c r="K49" s="4">
        <v>0</v>
      </c>
      <c r="L49" s="4">
        <v>407.07299999999998</v>
      </c>
      <c r="M49" s="4">
        <v>407.07299999999998</v>
      </c>
      <c r="N49" s="4">
        <v>407.07299999999998</v>
      </c>
      <c r="O49" s="4">
        <v>407.07299999999998</v>
      </c>
      <c r="P49" s="4">
        <v>0</v>
      </c>
      <c r="Q49" s="3" t="s">
        <v>26</v>
      </c>
      <c r="R49" s="3">
        <v>0</v>
      </c>
      <c r="S49" s="4">
        <v>0</v>
      </c>
      <c r="T49" s="4">
        <v>11</v>
      </c>
      <c r="U49" s="4">
        <v>56</v>
      </c>
      <c r="V49" s="4">
        <f>IF(ISERROR(VLOOKUP($S$49,'TAR FIN'!$A$1:$O$88,15,0)),0,VLOOKUP($S$49,'TAR FIN'!$A$1:$O$88,15,0))</f>
        <v>0</v>
      </c>
      <c r="W49" s="4">
        <f>IF(ISERROR(VLOOKUP($T$49,'TAR FIN'!$A$1:$O$88,15,0)),0,VLOOKUP($T$49,'TAR FIN'!$A$1:$O$88,15,0))</f>
        <v>67.52</v>
      </c>
      <c r="X49" s="4">
        <f>IF(ISERROR(VLOOKUP($U$49,'TAR FIN'!$A$1:$O$88,15,0)),0,VLOOKUP($U$49,'TAR FIN'!$A$1:$O$88,15,0))</f>
        <v>165.21</v>
      </c>
      <c r="Y49" s="4"/>
      <c r="Z49" s="4">
        <f ca="1">('TUSD BE'!$AM$12+'TUSD BF'!$AM$12+'TUSD CVA'!$AM$12)*1</f>
        <v>97.446478745899796</v>
      </c>
      <c r="AA49" s="4">
        <f>('TE BE'!$AB$6+'TE BF'!$AB$6+'TE CVA'!$AB$6)*1</f>
        <v>153.95741395122897</v>
      </c>
      <c r="AB49" s="4">
        <f>$K$49*$V$49</f>
        <v>0</v>
      </c>
      <c r="AC49" s="4">
        <f>$M$49*$W$49</f>
        <v>27485.568959999997</v>
      </c>
      <c r="AD49" s="4">
        <f>$O$49*$X$49</f>
        <v>67252.530329999994</v>
      </c>
      <c r="AE49" s="4">
        <f>$K$49*$Y$49</f>
        <v>0</v>
      </c>
      <c r="AF49" s="4">
        <f ca="1">$M$49*$Z$49</f>
        <v>39667.830442529666</v>
      </c>
      <c r="AG49" s="4">
        <f>$O$49*$AA$49</f>
        <v>62671.906369368626</v>
      </c>
    </row>
    <row r="50" spans="1:33" ht="11.25" customHeight="1" x14ac:dyDescent="0.25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25</v>
      </c>
      <c r="G50" s="3" t="s">
        <v>25</v>
      </c>
      <c r="H50" s="3" t="s">
        <v>25</v>
      </c>
      <c r="I50" s="6">
        <v>44440</v>
      </c>
      <c r="J50" s="4">
        <v>1901</v>
      </c>
      <c r="K50" s="4">
        <v>1901</v>
      </c>
      <c r="L50" s="4">
        <v>0</v>
      </c>
      <c r="M50" s="4">
        <v>0</v>
      </c>
      <c r="N50" s="4">
        <v>0</v>
      </c>
      <c r="O50" s="4">
        <v>0</v>
      </c>
      <c r="P50" s="4">
        <v>9</v>
      </c>
      <c r="Q50" s="3" t="s">
        <v>26</v>
      </c>
      <c r="R50" s="3">
        <v>0</v>
      </c>
      <c r="S50" s="4">
        <v>7</v>
      </c>
      <c r="T50" s="4">
        <v>0</v>
      </c>
      <c r="U50" s="4">
        <v>0</v>
      </c>
      <c r="V50" s="4">
        <f>IF(ISERROR(VLOOKUP($S$50,'TAR FIN'!$A$1:$O$88,15,0)),0,VLOOKUP($S$50,'TAR FIN'!$A$1:$O$88,15,0))</f>
        <v>32.22</v>
      </c>
      <c r="W50" s="4">
        <f>IF(ISERROR(VLOOKUP($T$50,'TAR FIN'!$A$1:$O$88,15,0)),0,VLOOKUP($T$50,'TAR FIN'!$A$1:$O$88,15,0))</f>
        <v>0</v>
      </c>
      <c r="X50" s="4">
        <f>IF(ISERROR(VLOOKUP($U$50,'TAR FIN'!$A$1:$O$88,15,0)),0,VLOOKUP($U$50,'TAR FIN'!$A$1:$O$88,15,0))</f>
        <v>0</v>
      </c>
      <c r="Y50" s="4">
        <f ca="1">('TUSD BE'!$AM$10+'TUSD BF'!$AM$10+'TUSD CVA'!$AM$10)*1</f>
        <v>34.404837809677844</v>
      </c>
      <c r="Z50" s="4"/>
      <c r="AA50" s="4"/>
      <c r="AB50" s="4">
        <f>$K$50*$V$50</f>
        <v>61250.22</v>
      </c>
      <c r="AC50" s="4">
        <f>$M$50*$W$50</f>
        <v>0</v>
      </c>
      <c r="AD50" s="4">
        <f>$O$50*$X$50</f>
        <v>0</v>
      </c>
      <c r="AE50" s="4">
        <f ca="1">$K$50*$Y$50</f>
        <v>65403.59667619758</v>
      </c>
      <c r="AF50" s="4">
        <f>$M$50*$Z$50</f>
        <v>0</v>
      </c>
      <c r="AG50" s="4">
        <f>$O$50*$AA$50</f>
        <v>0</v>
      </c>
    </row>
    <row r="51" spans="1:33" ht="11.25" customHeight="1" x14ac:dyDescent="0.25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25</v>
      </c>
      <c r="G51" s="3" t="s">
        <v>25</v>
      </c>
      <c r="H51" s="3" t="s">
        <v>25</v>
      </c>
      <c r="I51" s="6">
        <v>44470</v>
      </c>
      <c r="J51" s="4">
        <v>1905</v>
      </c>
      <c r="K51" s="4">
        <v>1905</v>
      </c>
      <c r="L51" s="4">
        <v>0</v>
      </c>
      <c r="M51" s="4">
        <v>0</v>
      </c>
      <c r="N51" s="4">
        <v>0</v>
      </c>
      <c r="O51" s="4">
        <v>0</v>
      </c>
      <c r="P51" s="4">
        <v>9</v>
      </c>
      <c r="Q51" s="3" t="s">
        <v>26</v>
      </c>
      <c r="R51" s="3">
        <v>0</v>
      </c>
      <c r="S51" s="4">
        <v>7</v>
      </c>
      <c r="T51" s="4">
        <v>0</v>
      </c>
      <c r="U51" s="4">
        <v>0</v>
      </c>
      <c r="V51" s="4">
        <f>IF(ISERROR(VLOOKUP($S$51,'TAR FIN'!$A$1:$O$88,15,0)),0,VLOOKUP($S$51,'TAR FIN'!$A$1:$O$88,15,0))</f>
        <v>32.22</v>
      </c>
      <c r="W51" s="4">
        <f>IF(ISERROR(VLOOKUP($T$51,'TAR FIN'!$A$1:$O$88,15,0)),0,VLOOKUP($T$51,'TAR FIN'!$A$1:$O$88,15,0))</f>
        <v>0</v>
      </c>
      <c r="X51" s="4">
        <f>IF(ISERROR(VLOOKUP($U$51,'TAR FIN'!$A$1:$O$88,15,0)),0,VLOOKUP($U$51,'TAR FIN'!$A$1:$O$88,15,0))</f>
        <v>0</v>
      </c>
      <c r="Y51" s="4">
        <f ca="1">('TUSD BE'!$AM$10+'TUSD BF'!$AM$10+'TUSD CVA'!$AM$10)*1</f>
        <v>34.404837809677844</v>
      </c>
      <c r="Z51" s="4"/>
      <c r="AA51" s="4"/>
      <c r="AB51" s="4">
        <f>$K$51*$V$51</f>
        <v>61379.1</v>
      </c>
      <c r="AC51" s="4">
        <f>$M$51*$W$51</f>
        <v>0</v>
      </c>
      <c r="AD51" s="4">
        <f>$O$51*$X$51</f>
        <v>0</v>
      </c>
      <c r="AE51" s="4">
        <f ca="1">$K$51*$Y$51</f>
        <v>65541.216027436298</v>
      </c>
      <c r="AF51" s="4">
        <f>$M$51*$Z$51</f>
        <v>0</v>
      </c>
      <c r="AG51" s="4">
        <f>$O$51*$AA$51</f>
        <v>0</v>
      </c>
    </row>
    <row r="52" spans="1:33" ht="11.25" customHeight="1" x14ac:dyDescent="0.25">
      <c r="A52" s="3" t="s">
        <v>21</v>
      </c>
      <c r="B52" s="3" t="s">
        <v>35</v>
      </c>
      <c r="C52" s="3" t="s">
        <v>36</v>
      </c>
      <c r="D52" s="3" t="s">
        <v>34</v>
      </c>
      <c r="E52" s="3" t="s">
        <v>25</v>
      </c>
      <c r="F52" s="3" t="s">
        <v>25</v>
      </c>
      <c r="G52" s="3" t="s">
        <v>25</v>
      </c>
      <c r="H52" s="3" t="s">
        <v>25</v>
      </c>
      <c r="I52" s="6">
        <v>44501</v>
      </c>
      <c r="J52" s="4">
        <v>1896</v>
      </c>
      <c r="K52" s="4">
        <v>1896</v>
      </c>
      <c r="L52" s="4">
        <v>0</v>
      </c>
      <c r="M52" s="4">
        <v>0</v>
      </c>
      <c r="N52" s="4">
        <v>0</v>
      </c>
      <c r="O52" s="4">
        <v>0</v>
      </c>
      <c r="P52" s="4">
        <v>9</v>
      </c>
      <c r="Q52" s="3" t="s">
        <v>26</v>
      </c>
      <c r="R52" s="3">
        <v>0</v>
      </c>
      <c r="S52" s="4">
        <v>7</v>
      </c>
      <c r="T52" s="4">
        <v>0</v>
      </c>
      <c r="U52" s="4">
        <v>0</v>
      </c>
      <c r="V52" s="4">
        <f>IF(ISERROR(VLOOKUP($S$52,'TAR FIN'!$A$1:$O$88,15,0)),0,VLOOKUP($S$52,'TAR FIN'!$A$1:$O$88,15,0))</f>
        <v>32.22</v>
      </c>
      <c r="W52" s="4">
        <f>IF(ISERROR(VLOOKUP($T$52,'TAR FIN'!$A$1:$O$88,15,0)),0,VLOOKUP($T$52,'TAR FIN'!$A$1:$O$88,15,0))</f>
        <v>0</v>
      </c>
      <c r="X52" s="4">
        <f>IF(ISERROR(VLOOKUP($U$52,'TAR FIN'!$A$1:$O$88,15,0)),0,VLOOKUP($U$52,'TAR FIN'!$A$1:$O$88,15,0))</f>
        <v>0</v>
      </c>
      <c r="Y52" s="4">
        <f ca="1">('TUSD BE'!$AM$10+'TUSD BF'!$AM$10+'TUSD CVA'!$AM$10)*1</f>
        <v>34.404837809677844</v>
      </c>
      <c r="Z52" s="4"/>
      <c r="AA52" s="4"/>
      <c r="AB52" s="4">
        <f>$K$52*$V$52</f>
        <v>61089.119999999995</v>
      </c>
      <c r="AC52" s="4">
        <f>$M$52*$W$52</f>
        <v>0</v>
      </c>
      <c r="AD52" s="4">
        <f>$O$52*$X$52</f>
        <v>0</v>
      </c>
      <c r="AE52" s="4">
        <f ca="1">$K$52*$Y$52</f>
        <v>65231.572487149191</v>
      </c>
      <c r="AF52" s="4">
        <f>$M$52*$Z$52</f>
        <v>0</v>
      </c>
      <c r="AG52" s="4">
        <f>$O$52*$AA$52</f>
        <v>0</v>
      </c>
    </row>
    <row r="53" spans="1:33" ht="11.25" customHeight="1" x14ac:dyDescent="0.25">
      <c r="A53" s="3" t="s">
        <v>21</v>
      </c>
      <c r="B53" s="3" t="s">
        <v>35</v>
      </c>
      <c r="C53" s="3" t="s">
        <v>36</v>
      </c>
      <c r="D53" s="3" t="s">
        <v>34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44531</v>
      </c>
      <c r="J53" s="4">
        <v>1907</v>
      </c>
      <c r="K53" s="4">
        <v>1907</v>
      </c>
      <c r="L53" s="4">
        <v>0</v>
      </c>
      <c r="M53" s="4">
        <v>0</v>
      </c>
      <c r="N53" s="4">
        <v>0</v>
      </c>
      <c r="O53" s="4">
        <v>0</v>
      </c>
      <c r="P53" s="4">
        <v>9</v>
      </c>
      <c r="Q53" s="3" t="s">
        <v>26</v>
      </c>
      <c r="R53" s="3">
        <v>0</v>
      </c>
      <c r="S53" s="4">
        <v>7</v>
      </c>
      <c r="T53" s="4">
        <v>0</v>
      </c>
      <c r="U53" s="4">
        <v>0</v>
      </c>
      <c r="V53" s="4">
        <f>IF(ISERROR(VLOOKUP($S$53,'TAR FIN'!$A$1:$O$88,15,0)),0,VLOOKUP($S$53,'TAR FIN'!$A$1:$O$88,15,0))</f>
        <v>32.22</v>
      </c>
      <c r="W53" s="4">
        <f>IF(ISERROR(VLOOKUP($T$53,'TAR FIN'!$A$1:$O$88,15,0)),0,VLOOKUP($T$53,'TAR FIN'!$A$1:$O$88,15,0))</f>
        <v>0</v>
      </c>
      <c r="X53" s="4">
        <f>IF(ISERROR(VLOOKUP($U$53,'TAR FIN'!$A$1:$O$88,15,0)),0,VLOOKUP($U$53,'TAR FIN'!$A$1:$O$88,15,0))</f>
        <v>0</v>
      </c>
      <c r="Y53" s="4">
        <f ca="1">('TUSD BE'!$AM$10+'TUSD BF'!$AM$10+'TUSD CVA'!$AM$10)*1</f>
        <v>34.404837809677844</v>
      </c>
      <c r="Z53" s="4"/>
      <c r="AA53" s="4"/>
      <c r="AB53" s="4">
        <f>$K$53*$V$53</f>
        <v>61443.54</v>
      </c>
      <c r="AC53" s="4">
        <f>$M$53*$W$53</f>
        <v>0</v>
      </c>
      <c r="AD53" s="4">
        <f>$O$53*$X$53</f>
        <v>0</v>
      </c>
      <c r="AE53" s="4">
        <f ca="1">$K$53*$Y$53</f>
        <v>65610.025703055653</v>
      </c>
      <c r="AF53" s="4">
        <f>$M$53*$Z$53</f>
        <v>0</v>
      </c>
      <c r="AG53" s="4">
        <f>$O$53*$AA$53</f>
        <v>0</v>
      </c>
    </row>
    <row r="54" spans="1:33" ht="11.25" customHeight="1" x14ac:dyDescent="0.25">
      <c r="A54" s="3" t="s">
        <v>21</v>
      </c>
      <c r="B54" s="3" t="s">
        <v>35</v>
      </c>
      <c r="C54" s="3" t="s">
        <v>36</v>
      </c>
      <c r="D54" s="3" t="s">
        <v>34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44562</v>
      </c>
      <c r="J54" s="4">
        <v>1895</v>
      </c>
      <c r="K54" s="4">
        <v>1895</v>
      </c>
      <c r="L54" s="4">
        <v>0</v>
      </c>
      <c r="M54" s="4">
        <v>0</v>
      </c>
      <c r="N54" s="4">
        <v>0</v>
      </c>
      <c r="O54" s="4">
        <v>0</v>
      </c>
      <c r="P54" s="4">
        <v>9</v>
      </c>
      <c r="Q54" s="3" t="s">
        <v>26</v>
      </c>
      <c r="R54" s="3">
        <v>0</v>
      </c>
      <c r="S54" s="4">
        <v>7</v>
      </c>
      <c r="T54" s="4">
        <v>0</v>
      </c>
      <c r="U54" s="4">
        <v>0</v>
      </c>
      <c r="V54" s="4">
        <f>IF(ISERROR(VLOOKUP($S$54,'TAR FIN'!$A$1:$O$88,15,0)),0,VLOOKUP($S$54,'TAR FIN'!$A$1:$O$88,15,0))</f>
        <v>32.22</v>
      </c>
      <c r="W54" s="4">
        <f>IF(ISERROR(VLOOKUP($T$54,'TAR FIN'!$A$1:$O$88,15,0)),0,VLOOKUP($T$54,'TAR FIN'!$A$1:$O$88,15,0))</f>
        <v>0</v>
      </c>
      <c r="X54" s="4">
        <f>IF(ISERROR(VLOOKUP($U$54,'TAR FIN'!$A$1:$O$88,15,0)),0,VLOOKUP($U$54,'TAR FIN'!$A$1:$O$88,15,0))</f>
        <v>0</v>
      </c>
      <c r="Y54" s="4">
        <f ca="1">('TUSD BE'!$AM$10+'TUSD BF'!$AM$10+'TUSD CVA'!$AM$10)*1</f>
        <v>34.404837809677844</v>
      </c>
      <c r="Z54" s="4"/>
      <c r="AA54" s="4"/>
      <c r="AB54" s="4">
        <f>$K$54*$V$54</f>
        <v>61056.9</v>
      </c>
      <c r="AC54" s="4">
        <f>$M$54*$W$54</f>
        <v>0</v>
      </c>
      <c r="AD54" s="4">
        <f>$O$54*$X$54</f>
        <v>0</v>
      </c>
      <c r="AE54" s="4">
        <f ca="1">$K$54*$Y$54</f>
        <v>65197.167649339513</v>
      </c>
      <c r="AF54" s="4">
        <f>$M$54*$Z$54</f>
        <v>0</v>
      </c>
      <c r="AG54" s="4">
        <f>$O$54*$AA$54</f>
        <v>0</v>
      </c>
    </row>
    <row r="55" spans="1:33" ht="11.25" customHeight="1" x14ac:dyDescent="0.25">
      <c r="A55" s="3" t="s">
        <v>21</v>
      </c>
      <c r="B55" s="3" t="s">
        <v>35</v>
      </c>
      <c r="C55" s="3" t="s">
        <v>36</v>
      </c>
      <c r="D55" s="3" t="s">
        <v>34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44593</v>
      </c>
      <c r="J55" s="4">
        <v>1908</v>
      </c>
      <c r="K55" s="4">
        <v>1908</v>
      </c>
      <c r="L55" s="4">
        <v>0</v>
      </c>
      <c r="M55" s="4">
        <v>0</v>
      </c>
      <c r="N55" s="4">
        <v>0</v>
      </c>
      <c r="O55" s="4">
        <v>0</v>
      </c>
      <c r="P55" s="4">
        <v>9</v>
      </c>
      <c r="Q55" s="3" t="s">
        <v>26</v>
      </c>
      <c r="R55" s="3">
        <v>0</v>
      </c>
      <c r="S55" s="4">
        <v>7</v>
      </c>
      <c r="T55" s="4">
        <v>0</v>
      </c>
      <c r="U55" s="4">
        <v>0</v>
      </c>
      <c r="V55" s="4">
        <f>IF(ISERROR(VLOOKUP($S$55,'TAR FIN'!$A$1:$O$88,15,0)),0,VLOOKUP($S$55,'TAR FIN'!$A$1:$O$88,15,0))</f>
        <v>32.22</v>
      </c>
      <c r="W55" s="4">
        <f>IF(ISERROR(VLOOKUP($T$55,'TAR FIN'!$A$1:$O$88,15,0)),0,VLOOKUP($T$55,'TAR FIN'!$A$1:$O$88,15,0))</f>
        <v>0</v>
      </c>
      <c r="X55" s="4">
        <f>IF(ISERROR(VLOOKUP($U$55,'TAR FIN'!$A$1:$O$88,15,0)),0,VLOOKUP($U$55,'TAR FIN'!$A$1:$O$88,15,0))</f>
        <v>0</v>
      </c>
      <c r="Y55" s="4">
        <f ca="1">('TUSD BE'!$AM$10+'TUSD BF'!$AM$10+'TUSD CVA'!$AM$10)*1</f>
        <v>34.404837809677844</v>
      </c>
      <c r="Z55" s="4"/>
      <c r="AA55" s="4"/>
      <c r="AB55" s="4">
        <f>$K$55*$V$55</f>
        <v>61475.759999999995</v>
      </c>
      <c r="AC55" s="4">
        <f>$M$55*$W$55</f>
        <v>0</v>
      </c>
      <c r="AD55" s="4">
        <f>$O$55*$X$55</f>
        <v>0</v>
      </c>
      <c r="AE55" s="4">
        <f ca="1">$K$55*$Y$55</f>
        <v>65644.430540865331</v>
      </c>
      <c r="AF55" s="4">
        <f>$M$55*$Z$55</f>
        <v>0</v>
      </c>
      <c r="AG55" s="4">
        <f>$O$55*$AA$55</f>
        <v>0</v>
      </c>
    </row>
    <row r="56" spans="1:33" ht="11.25" customHeight="1" x14ac:dyDescent="0.25">
      <c r="A56" s="3" t="s">
        <v>21</v>
      </c>
      <c r="B56" s="3" t="s">
        <v>35</v>
      </c>
      <c r="C56" s="3" t="s">
        <v>36</v>
      </c>
      <c r="D56" s="3" t="s">
        <v>34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44621</v>
      </c>
      <c r="J56" s="4">
        <v>1897</v>
      </c>
      <c r="K56" s="4">
        <v>1897</v>
      </c>
      <c r="L56" s="4">
        <v>0</v>
      </c>
      <c r="M56" s="4">
        <v>0</v>
      </c>
      <c r="N56" s="4">
        <v>0</v>
      </c>
      <c r="O56" s="4">
        <v>0</v>
      </c>
      <c r="P56" s="4">
        <v>9</v>
      </c>
      <c r="Q56" s="3" t="s">
        <v>26</v>
      </c>
      <c r="R56" s="3">
        <v>0</v>
      </c>
      <c r="S56" s="4">
        <v>7</v>
      </c>
      <c r="T56" s="4">
        <v>0</v>
      </c>
      <c r="U56" s="4">
        <v>0</v>
      </c>
      <c r="V56" s="4">
        <f>IF(ISERROR(VLOOKUP($S$56,'TAR FIN'!$A$1:$O$88,15,0)),0,VLOOKUP($S$56,'TAR FIN'!$A$1:$O$88,15,0))</f>
        <v>32.22</v>
      </c>
      <c r="W56" s="4">
        <f>IF(ISERROR(VLOOKUP($T$56,'TAR FIN'!$A$1:$O$88,15,0)),0,VLOOKUP($T$56,'TAR FIN'!$A$1:$O$88,15,0))</f>
        <v>0</v>
      </c>
      <c r="X56" s="4">
        <f>IF(ISERROR(VLOOKUP($U$56,'TAR FIN'!$A$1:$O$88,15,0)),0,VLOOKUP($U$56,'TAR FIN'!$A$1:$O$88,15,0))</f>
        <v>0</v>
      </c>
      <c r="Y56" s="4">
        <f ca="1">('TUSD BE'!$AM$10+'TUSD BF'!$AM$10+'TUSD CVA'!$AM$10)*1</f>
        <v>34.404837809677844</v>
      </c>
      <c r="Z56" s="4"/>
      <c r="AA56" s="4"/>
      <c r="AB56" s="4">
        <f>$K$56*$V$56</f>
        <v>61121.34</v>
      </c>
      <c r="AC56" s="4">
        <f>$M$56*$W$56</f>
        <v>0</v>
      </c>
      <c r="AD56" s="4">
        <f>$O$56*$X$56</f>
        <v>0</v>
      </c>
      <c r="AE56" s="4">
        <f ca="1">$K$56*$Y$56</f>
        <v>65265.977324958869</v>
      </c>
      <c r="AF56" s="4">
        <f>$M$56*$Z$56</f>
        <v>0</v>
      </c>
      <c r="AG56" s="4">
        <f>$O$56*$AA$56</f>
        <v>0</v>
      </c>
    </row>
    <row r="57" spans="1:33" ht="11.25" customHeight="1" x14ac:dyDescent="0.25">
      <c r="A57" s="3" t="s">
        <v>21</v>
      </c>
      <c r="B57" s="3" t="s">
        <v>35</v>
      </c>
      <c r="C57" s="3" t="s">
        <v>36</v>
      </c>
      <c r="D57" s="3" t="s">
        <v>34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44652</v>
      </c>
      <c r="J57" s="4">
        <v>1821</v>
      </c>
      <c r="K57" s="4">
        <v>1821</v>
      </c>
      <c r="L57" s="4">
        <v>0</v>
      </c>
      <c r="M57" s="4">
        <v>0</v>
      </c>
      <c r="N57" s="4">
        <v>0</v>
      </c>
      <c r="O57" s="4">
        <v>0</v>
      </c>
      <c r="P57" s="4">
        <v>8</v>
      </c>
      <c r="Q57" s="3" t="s">
        <v>26</v>
      </c>
      <c r="R57" s="3">
        <v>0</v>
      </c>
      <c r="S57" s="4">
        <v>7</v>
      </c>
      <c r="T57" s="4">
        <v>0</v>
      </c>
      <c r="U57" s="4">
        <v>0</v>
      </c>
      <c r="V57" s="4">
        <f>IF(ISERROR(VLOOKUP($S$57,'TAR FIN'!$A$1:$O$88,15,0)),0,VLOOKUP($S$57,'TAR FIN'!$A$1:$O$88,15,0))</f>
        <v>32.22</v>
      </c>
      <c r="W57" s="4">
        <f>IF(ISERROR(VLOOKUP($T$57,'TAR FIN'!$A$1:$O$88,15,0)),0,VLOOKUP($T$57,'TAR FIN'!$A$1:$O$88,15,0))</f>
        <v>0</v>
      </c>
      <c r="X57" s="4">
        <f>IF(ISERROR(VLOOKUP($U$57,'TAR FIN'!$A$1:$O$88,15,0)),0,VLOOKUP($U$57,'TAR FIN'!$A$1:$O$88,15,0))</f>
        <v>0</v>
      </c>
      <c r="Y57" s="4">
        <f ca="1">('TUSD BE'!$AM$10+'TUSD BF'!$AM$10+'TUSD CVA'!$AM$10)*1</f>
        <v>34.404837809677844</v>
      </c>
      <c r="Z57" s="4"/>
      <c r="AA57" s="4"/>
      <c r="AB57" s="4">
        <f>$K$57*$V$57</f>
        <v>58672.619999999995</v>
      </c>
      <c r="AC57" s="4">
        <f>$M$57*$W$57</f>
        <v>0</v>
      </c>
      <c r="AD57" s="4">
        <f>$O$57*$X$57</f>
        <v>0</v>
      </c>
      <c r="AE57" s="4">
        <f ca="1">$K$57*$Y$57</f>
        <v>62651.209651423356</v>
      </c>
      <c r="AF57" s="4">
        <f>$M$57*$Z$57</f>
        <v>0</v>
      </c>
      <c r="AG57" s="4">
        <f>$O$57*$AA$57</f>
        <v>0</v>
      </c>
    </row>
    <row r="58" spans="1:33" ht="11.25" customHeight="1" x14ac:dyDescent="0.25">
      <c r="A58" s="3" t="s">
        <v>21</v>
      </c>
      <c r="B58" s="3" t="s">
        <v>35</v>
      </c>
      <c r="C58" s="3" t="s">
        <v>36</v>
      </c>
      <c r="D58" s="3" t="s">
        <v>34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44682</v>
      </c>
      <c r="J58" s="4">
        <v>1800</v>
      </c>
      <c r="K58" s="4">
        <v>1800</v>
      </c>
      <c r="L58" s="4">
        <v>0</v>
      </c>
      <c r="M58" s="4">
        <v>0</v>
      </c>
      <c r="N58" s="4">
        <v>0</v>
      </c>
      <c r="O58" s="4">
        <v>0</v>
      </c>
      <c r="P58" s="4">
        <v>8</v>
      </c>
      <c r="Q58" s="3" t="s">
        <v>26</v>
      </c>
      <c r="R58" s="3">
        <v>0</v>
      </c>
      <c r="S58" s="4">
        <v>7</v>
      </c>
      <c r="T58" s="4">
        <v>0</v>
      </c>
      <c r="U58" s="4">
        <v>0</v>
      </c>
      <c r="V58" s="4">
        <f>IF(ISERROR(VLOOKUP($S$58,'TAR FIN'!$A$1:$O$88,15,0)),0,VLOOKUP($S$58,'TAR FIN'!$A$1:$O$88,15,0))</f>
        <v>32.22</v>
      </c>
      <c r="W58" s="4">
        <f>IF(ISERROR(VLOOKUP($T$58,'TAR FIN'!$A$1:$O$88,15,0)),0,VLOOKUP($T$58,'TAR FIN'!$A$1:$O$88,15,0))</f>
        <v>0</v>
      </c>
      <c r="X58" s="4">
        <f>IF(ISERROR(VLOOKUP($U$58,'TAR FIN'!$A$1:$O$88,15,0)),0,VLOOKUP($U$58,'TAR FIN'!$A$1:$O$88,15,0))</f>
        <v>0</v>
      </c>
      <c r="Y58" s="4">
        <f ca="1">('TUSD BE'!$AM$10+'TUSD BF'!$AM$10+'TUSD CVA'!$AM$10)*1</f>
        <v>34.404837809677844</v>
      </c>
      <c r="Z58" s="4"/>
      <c r="AA58" s="4"/>
      <c r="AB58" s="4">
        <f>$K$58*$V$58</f>
        <v>57996</v>
      </c>
      <c r="AC58" s="4">
        <f>$M$58*$W$58</f>
        <v>0</v>
      </c>
      <c r="AD58" s="4">
        <f>$O$58*$X$58</f>
        <v>0</v>
      </c>
      <c r="AE58" s="4">
        <f ca="1">$K$58*$Y$58</f>
        <v>61928.708057420117</v>
      </c>
      <c r="AF58" s="4">
        <f>$M$58*$Z$58</f>
        <v>0</v>
      </c>
      <c r="AG58" s="4">
        <f>$O$58*$AA$58</f>
        <v>0</v>
      </c>
    </row>
    <row r="59" spans="1:33" ht="11.25" customHeight="1" x14ac:dyDescent="0.25">
      <c r="A59" s="3" t="s">
        <v>21</v>
      </c>
      <c r="B59" s="3" t="s">
        <v>35</v>
      </c>
      <c r="C59" s="3" t="s">
        <v>36</v>
      </c>
      <c r="D59" s="3" t="s">
        <v>34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44713</v>
      </c>
      <c r="J59" s="4">
        <v>1791</v>
      </c>
      <c r="K59" s="4">
        <v>1791</v>
      </c>
      <c r="L59" s="4">
        <v>0</v>
      </c>
      <c r="M59" s="4">
        <v>0</v>
      </c>
      <c r="N59" s="4">
        <v>0</v>
      </c>
      <c r="O59" s="4">
        <v>0</v>
      </c>
      <c r="P59" s="4">
        <v>8</v>
      </c>
      <c r="Q59" s="3" t="s">
        <v>26</v>
      </c>
      <c r="R59" s="3">
        <v>0</v>
      </c>
      <c r="S59" s="4">
        <v>7</v>
      </c>
      <c r="T59" s="4">
        <v>0</v>
      </c>
      <c r="U59" s="4">
        <v>0</v>
      </c>
      <c r="V59" s="4">
        <f>IF(ISERROR(VLOOKUP($S$59,'TAR FIN'!$A$1:$O$88,15,0)),0,VLOOKUP($S$59,'TAR FIN'!$A$1:$O$88,15,0))</f>
        <v>32.22</v>
      </c>
      <c r="W59" s="4">
        <f>IF(ISERROR(VLOOKUP($T$59,'TAR FIN'!$A$1:$O$88,15,0)),0,VLOOKUP($T$59,'TAR FIN'!$A$1:$O$88,15,0))</f>
        <v>0</v>
      </c>
      <c r="X59" s="4">
        <f>IF(ISERROR(VLOOKUP($U$59,'TAR FIN'!$A$1:$O$88,15,0)),0,VLOOKUP($U$59,'TAR FIN'!$A$1:$O$88,15,0))</f>
        <v>0</v>
      </c>
      <c r="Y59" s="4">
        <f ca="1">('TUSD BE'!$AM$10+'TUSD BF'!$AM$10+'TUSD CVA'!$AM$10)*1</f>
        <v>34.404837809677844</v>
      </c>
      <c r="Z59" s="4"/>
      <c r="AA59" s="4"/>
      <c r="AB59" s="4">
        <f>$K$59*$V$59</f>
        <v>57706.02</v>
      </c>
      <c r="AC59" s="4">
        <f>$M$59*$W$59</f>
        <v>0</v>
      </c>
      <c r="AD59" s="4">
        <f>$O$59*$X$59</f>
        <v>0</v>
      </c>
      <c r="AE59" s="4">
        <f ca="1">$K$59*$Y$59</f>
        <v>61619.064517133018</v>
      </c>
      <c r="AF59" s="4">
        <f>$M$59*$Z$59</f>
        <v>0</v>
      </c>
      <c r="AG59" s="4">
        <f>$O$59*$AA$59</f>
        <v>0</v>
      </c>
    </row>
    <row r="60" spans="1:33" ht="11.25" customHeight="1" x14ac:dyDescent="0.25">
      <c r="A60" s="3" t="s">
        <v>21</v>
      </c>
      <c r="B60" s="3" t="s">
        <v>35</v>
      </c>
      <c r="C60" s="3" t="s">
        <v>36</v>
      </c>
      <c r="D60" s="3" t="s">
        <v>34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44743</v>
      </c>
      <c r="J60" s="4">
        <v>1823</v>
      </c>
      <c r="K60" s="4">
        <v>1823</v>
      </c>
      <c r="L60" s="4">
        <v>0</v>
      </c>
      <c r="M60" s="4">
        <v>0</v>
      </c>
      <c r="N60" s="4">
        <v>0</v>
      </c>
      <c r="O60" s="4">
        <v>0</v>
      </c>
      <c r="P60" s="4">
        <v>8</v>
      </c>
      <c r="Q60" s="3" t="s">
        <v>26</v>
      </c>
      <c r="R60" s="3">
        <v>0</v>
      </c>
      <c r="S60" s="4">
        <v>7</v>
      </c>
      <c r="T60" s="4">
        <v>0</v>
      </c>
      <c r="U60" s="4">
        <v>0</v>
      </c>
      <c r="V60" s="4">
        <f>IF(ISERROR(VLOOKUP($S$60,'TAR FIN'!$A$1:$O$88,15,0)),0,VLOOKUP($S$60,'TAR FIN'!$A$1:$O$88,15,0))</f>
        <v>32.22</v>
      </c>
      <c r="W60" s="4">
        <f>IF(ISERROR(VLOOKUP($T$60,'TAR FIN'!$A$1:$O$88,15,0)),0,VLOOKUP($T$60,'TAR FIN'!$A$1:$O$88,15,0))</f>
        <v>0</v>
      </c>
      <c r="X60" s="4">
        <f>IF(ISERROR(VLOOKUP($U$60,'TAR FIN'!$A$1:$O$88,15,0)),0,VLOOKUP($U$60,'TAR FIN'!$A$1:$O$88,15,0))</f>
        <v>0</v>
      </c>
      <c r="Y60" s="4">
        <f ca="1">('TUSD BE'!$AM$10+'TUSD BF'!$AM$10+'TUSD CVA'!$AM$10)*1</f>
        <v>34.404837809677844</v>
      </c>
      <c r="Z60" s="4"/>
      <c r="AA60" s="4"/>
      <c r="AB60" s="4">
        <f>$K$60*$V$60</f>
        <v>58737.06</v>
      </c>
      <c r="AC60" s="4">
        <f>$M$60*$W$60</f>
        <v>0</v>
      </c>
      <c r="AD60" s="4">
        <f>$O$60*$X$60</f>
        <v>0</v>
      </c>
      <c r="AE60" s="4">
        <f ca="1">$K$60*$Y$60</f>
        <v>62720.019327042712</v>
      </c>
      <c r="AF60" s="4">
        <f>$M$60*$Z$60</f>
        <v>0</v>
      </c>
      <c r="AG60" s="4">
        <f>$O$60*$AA$60</f>
        <v>0</v>
      </c>
    </row>
    <row r="61" spans="1:33" ht="11.25" customHeight="1" x14ac:dyDescent="0.25">
      <c r="A61" s="3" t="s">
        <v>21</v>
      </c>
      <c r="B61" s="3" t="s">
        <v>35</v>
      </c>
      <c r="C61" s="3" t="s">
        <v>36</v>
      </c>
      <c r="D61" s="3" t="s">
        <v>34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44774</v>
      </c>
      <c r="J61" s="4">
        <v>1826</v>
      </c>
      <c r="K61" s="4">
        <v>1826</v>
      </c>
      <c r="L61" s="4">
        <v>0</v>
      </c>
      <c r="M61" s="4">
        <v>0</v>
      </c>
      <c r="N61" s="4">
        <v>0</v>
      </c>
      <c r="O61" s="4">
        <v>0</v>
      </c>
      <c r="P61" s="4">
        <v>8</v>
      </c>
      <c r="Q61" s="3" t="s">
        <v>26</v>
      </c>
      <c r="R61" s="3">
        <v>0</v>
      </c>
      <c r="S61" s="4">
        <v>7</v>
      </c>
      <c r="T61" s="4">
        <v>0</v>
      </c>
      <c r="U61" s="4">
        <v>0</v>
      </c>
      <c r="V61" s="4">
        <f>IF(ISERROR(VLOOKUP($S$61,'TAR FIN'!$A$1:$O$88,15,0)),0,VLOOKUP($S$61,'TAR FIN'!$A$1:$O$88,15,0))</f>
        <v>32.22</v>
      </c>
      <c r="W61" s="4">
        <f>IF(ISERROR(VLOOKUP($T$61,'TAR FIN'!$A$1:$O$88,15,0)),0,VLOOKUP($T$61,'TAR FIN'!$A$1:$O$88,15,0))</f>
        <v>0</v>
      </c>
      <c r="X61" s="4">
        <f>IF(ISERROR(VLOOKUP($U$61,'TAR FIN'!$A$1:$O$88,15,0)),0,VLOOKUP($U$61,'TAR FIN'!$A$1:$O$88,15,0))</f>
        <v>0</v>
      </c>
      <c r="Y61" s="4">
        <f ca="1">('TUSD BE'!$AM$10+'TUSD BF'!$AM$10+'TUSD CVA'!$AM$10)*1</f>
        <v>34.404837809677844</v>
      </c>
      <c r="Z61" s="4"/>
      <c r="AA61" s="4"/>
      <c r="AB61" s="4">
        <f>$K$61*$V$61</f>
        <v>58833.72</v>
      </c>
      <c r="AC61" s="4">
        <f>$M$61*$W$61</f>
        <v>0</v>
      </c>
      <c r="AD61" s="4">
        <f>$O$61*$X$61</f>
        <v>0</v>
      </c>
      <c r="AE61" s="4">
        <f ca="1">$K$61*$Y$61</f>
        <v>62823.233840471745</v>
      </c>
      <c r="AF61" s="4">
        <f>$M$61*$Z$61</f>
        <v>0</v>
      </c>
      <c r="AG61" s="4">
        <f>$O$61*$AA$61</f>
        <v>0</v>
      </c>
    </row>
    <row r="62" spans="1:33" ht="11.25" customHeight="1" x14ac:dyDescent="0.25">
      <c r="A62" s="3" t="s">
        <v>21</v>
      </c>
      <c r="B62" s="3" t="s">
        <v>35</v>
      </c>
      <c r="C62" s="3" t="s">
        <v>36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13.513</v>
      </c>
      <c r="M62" s="4">
        <v>13.513</v>
      </c>
      <c r="N62" s="4">
        <v>13.513</v>
      </c>
      <c r="O62" s="4">
        <v>13.513</v>
      </c>
      <c r="P62" s="4">
        <v>0</v>
      </c>
      <c r="Q62" s="3" t="s">
        <v>26</v>
      </c>
      <c r="R62" s="3">
        <v>0</v>
      </c>
      <c r="S62" s="4">
        <v>0</v>
      </c>
      <c r="T62" s="4">
        <v>13</v>
      </c>
      <c r="U62" s="4">
        <v>42</v>
      </c>
      <c r="V62" s="4">
        <f>IF(ISERROR(VLOOKUP($S$62,'TAR FIN'!$A$1:$O$88,15,0)),0,VLOOKUP($S$62,'TAR FIN'!$A$1:$O$88,15,0))</f>
        <v>0</v>
      </c>
      <c r="W62" s="4">
        <f>IF(ISERROR(VLOOKUP($T$62,'TAR FIN'!$A$1:$O$88,15,0)),0,VLOOKUP($T$62,'TAR FIN'!$A$1:$O$88,15,0))</f>
        <v>2490.0500000000002</v>
      </c>
      <c r="X62" s="4">
        <f>IF(ISERROR(VLOOKUP($U$62,'TAR FIN'!$A$1:$O$88,15,0)),0,VLOOKUP($U$62,'TAR FIN'!$A$1:$O$88,15,0))</f>
        <v>165.21</v>
      </c>
      <c r="Y62" s="4"/>
      <c r="Z62" s="4">
        <f ca="1">('TUSD BE'!$AM$11+'TUSD BF'!$AM$11+'TUSD CVA'!$AM$11)*1</f>
        <v>2655.9538256104047</v>
      </c>
      <c r="AA62" s="4">
        <f>('TE BE'!$AB$5+'TE BF'!$AB$5+'TE CVA'!$AB$5)*1</f>
        <v>153.95741395122897</v>
      </c>
      <c r="AB62" s="4">
        <f>$K$62*$V$62</f>
        <v>0</v>
      </c>
      <c r="AC62" s="4">
        <f>$M$62*$W$62</f>
        <v>33648.04565</v>
      </c>
      <c r="AD62" s="4">
        <f>$O$62*$X$62</f>
        <v>2232.4827300000002</v>
      </c>
      <c r="AE62" s="4">
        <f>$K$62*$Y$62</f>
        <v>0</v>
      </c>
      <c r="AF62" s="4">
        <f ca="1">$M$62*$Z$62</f>
        <v>35889.904045473399</v>
      </c>
      <c r="AG62" s="4">
        <f>$O$62*$AA$62</f>
        <v>2080.4265347229571</v>
      </c>
    </row>
    <row r="63" spans="1:33" ht="11.25" customHeight="1" x14ac:dyDescent="0.25">
      <c r="A63" s="3" t="s">
        <v>21</v>
      </c>
      <c r="B63" s="3" t="s">
        <v>35</v>
      </c>
      <c r="C63" s="3" t="s">
        <v>36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13.305</v>
      </c>
      <c r="M63" s="4">
        <v>13.305</v>
      </c>
      <c r="N63" s="4">
        <v>13.305</v>
      </c>
      <c r="O63" s="4">
        <v>13.305</v>
      </c>
      <c r="P63" s="4">
        <v>0</v>
      </c>
      <c r="Q63" s="3" t="s">
        <v>26</v>
      </c>
      <c r="R63" s="3">
        <v>0</v>
      </c>
      <c r="S63" s="4">
        <v>0</v>
      </c>
      <c r="T63" s="4">
        <v>13</v>
      </c>
      <c r="U63" s="4">
        <v>42</v>
      </c>
      <c r="V63" s="4">
        <f>IF(ISERROR(VLOOKUP($S$63,'TAR FIN'!$A$1:$O$88,15,0)),0,VLOOKUP($S$63,'TAR FIN'!$A$1:$O$88,15,0))</f>
        <v>0</v>
      </c>
      <c r="W63" s="4">
        <f>IF(ISERROR(VLOOKUP($T$63,'TAR FIN'!$A$1:$O$88,15,0)),0,VLOOKUP($T$63,'TAR FIN'!$A$1:$O$88,15,0))</f>
        <v>2490.0500000000002</v>
      </c>
      <c r="X63" s="4">
        <f>IF(ISERROR(VLOOKUP($U$63,'TAR FIN'!$A$1:$O$88,15,0)),0,VLOOKUP($U$63,'TAR FIN'!$A$1:$O$88,15,0))</f>
        <v>165.21</v>
      </c>
      <c r="Y63" s="4"/>
      <c r="Z63" s="4">
        <f ca="1">('TUSD BE'!$AM$11+'TUSD BF'!$AM$11+'TUSD CVA'!$AM$11)*1</f>
        <v>2655.9538256104047</v>
      </c>
      <c r="AA63" s="4">
        <f>('TE BE'!$AB$5+'TE BF'!$AB$5+'TE CVA'!$AB$5)*1</f>
        <v>153.95741395122897</v>
      </c>
      <c r="AB63" s="4">
        <f>$K$63*$V$63</f>
        <v>0</v>
      </c>
      <c r="AC63" s="4">
        <f>$M$63*$W$63</f>
        <v>33130.115250000003</v>
      </c>
      <c r="AD63" s="4">
        <f>$O$63*$X$63</f>
        <v>2198.1190500000002</v>
      </c>
      <c r="AE63" s="4">
        <f>$K$63*$Y$63</f>
        <v>0</v>
      </c>
      <c r="AF63" s="4">
        <f ca="1">$M$63*$Z$63</f>
        <v>35337.465649746431</v>
      </c>
      <c r="AG63" s="4">
        <f>$O$63*$AA$63</f>
        <v>2048.4033926211014</v>
      </c>
    </row>
    <row r="64" spans="1:33" ht="11.25" customHeight="1" x14ac:dyDescent="0.25">
      <c r="A64" s="3" t="s">
        <v>21</v>
      </c>
      <c r="B64" s="3" t="s">
        <v>35</v>
      </c>
      <c r="C64" s="3" t="s">
        <v>36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15.304</v>
      </c>
      <c r="M64" s="4">
        <v>15.304</v>
      </c>
      <c r="N64" s="4">
        <v>15.304</v>
      </c>
      <c r="O64" s="4">
        <v>15.304</v>
      </c>
      <c r="P64" s="4">
        <v>0</v>
      </c>
      <c r="Q64" s="3" t="s">
        <v>26</v>
      </c>
      <c r="R64" s="3">
        <v>0</v>
      </c>
      <c r="S64" s="4">
        <v>0</v>
      </c>
      <c r="T64" s="4">
        <v>13</v>
      </c>
      <c r="U64" s="4">
        <v>42</v>
      </c>
      <c r="V64" s="4">
        <f>IF(ISERROR(VLOOKUP($S$64,'TAR FIN'!$A$1:$O$88,15,0)),0,VLOOKUP($S$64,'TAR FIN'!$A$1:$O$88,15,0))</f>
        <v>0</v>
      </c>
      <c r="W64" s="4">
        <f>IF(ISERROR(VLOOKUP($T$64,'TAR FIN'!$A$1:$O$88,15,0)),0,VLOOKUP($T$64,'TAR FIN'!$A$1:$O$88,15,0))</f>
        <v>2490.0500000000002</v>
      </c>
      <c r="X64" s="4">
        <f>IF(ISERROR(VLOOKUP($U$64,'TAR FIN'!$A$1:$O$88,15,0)),0,VLOOKUP($U$64,'TAR FIN'!$A$1:$O$88,15,0))</f>
        <v>165.21</v>
      </c>
      <c r="Y64" s="4"/>
      <c r="Z64" s="4">
        <f ca="1">('TUSD BE'!$AM$11+'TUSD BF'!$AM$11+'TUSD CVA'!$AM$11)*1</f>
        <v>2655.9538256104047</v>
      </c>
      <c r="AA64" s="4">
        <f>('TE BE'!$AB$5+'TE BF'!$AB$5+'TE CVA'!$AB$5)*1</f>
        <v>153.95741395122897</v>
      </c>
      <c r="AB64" s="4">
        <f>$K$64*$V$64</f>
        <v>0</v>
      </c>
      <c r="AC64" s="4">
        <f>$M$64*$W$64</f>
        <v>38107.725200000001</v>
      </c>
      <c r="AD64" s="4">
        <f>$O$64*$X$64</f>
        <v>2528.3738400000002</v>
      </c>
      <c r="AE64" s="4">
        <f>$K$64*$Y$64</f>
        <v>0</v>
      </c>
      <c r="AF64" s="4">
        <f ca="1">$M$64*$Z$64</f>
        <v>40646.717347141632</v>
      </c>
      <c r="AG64" s="4">
        <f>$O$64*$AA$64</f>
        <v>2356.1642631096083</v>
      </c>
    </row>
    <row r="65" spans="1:33" ht="11.25" customHeight="1" x14ac:dyDescent="0.25">
      <c r="A65" s="3" t="s">
        <v>21</v>
      </c>
      <c r="B65" s="3" t="s">
        <v>35</v>
      </c>
      <c r="C65" s="3" t="s">
        <v>36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13.315</v>
      </c>
      <c r="M65" s="4">
        <v>13.315</v>
      </c>
      <c r="N65" s="4">
        <v>13.315</v>
      </c>
      <c r="O65" s="4">
        <v>13.315</v>
      </c>
      <c r="P65" s="4">
        <v>0</v>
      </c>
      <c r="Q65" s="3" t="s">
        <v>26</v>
      </c>
      <c r="R65" s="3">
        <v>0</v>
      </c>
      <c r="S65" s="4">
        <v>0</v>
      </c>
      <c r="T65" s="4">
        <v>13</v>
      </c>
      <c r="U65" s="4">
        <v>42</v>
      </c>
      <c r="V65" s="4">
        <f>IF(ISERROR(VLOOKUP($S$65,'TAR FIN'!$A$1:$O$88,15,0)),0,VLOOKUP($S$65,'TAR FIN'!$A$1:$O$88,15,0))</f>
        <v>0</v>
      </c>
      <c r="W65" s="4">
        <f>IF(ISERROR(VLOOKUP($T$65,'TAR FIN'!$A$1:$O$88,15,0)),0,VLOOKUP($T$65,'TAR FIN'!$A$1:$O$88,15,0))</f>
        <v>2490.0500000000002</v>
      </c>
      <c r="X65" s="4">
        <f>IF(ISERROR(VLOOKUP($U$65,'TAR FIN'!$A$1:$O$88,15,0)),0,VLOOKUP($U$65,'TAR FIN'!$A$1:$O$88,15,0))</f>
        <v>165.21</v>
      </c>
      <c r="Y65" s="4"/>
      <c r="Z65" s="4">
        <f ca="1">('TUSD BE'!$AM$11+'TUSD BF'!$AM$11+'TUSD CVA'!$AM$11)*1</f>
        <v>2655.9538256104047</v>
      </c>
      <c r="AA65" s="4">
        <f>('TE BE'!$AB$5+'TE BF'!$AB$5+'TE CVA'!$AB$5)*1</f>
        <v>153.95741395122897</v>
      </c>
      <c r="AB65" s="4">
        <f>$K$65*$V$65</f>
        <v>0</v>
      </c>
      <c r="AC65" s="4">
        <f>$M$65*$W$65</f>
        <v>33155.015749999999</v>
      </c>
      <c r="AD65" s="4">
        <f>$O$65*$X$65</f>
        <v>2199.77115</v>
      </c>
      <c r="AE65" s="4">
        <f>$K$65*$Y$65</f>
        <v>0</v>
      </c>
      <c r="AF65" s="4">
        <f ca="1">$M$65*$Z$65</f>
        <v>35364.025188002539</v>
      </c>
      <c r="AG65" s="4">
        <f>$O$65*$AA$65</f>
        <v>2049.9429667606137</v>
      </c>
    </row>
    <row r="66" spans="1:33" ht="11.25" customHeight="1" x14ac:dyDescent="0.25">
      <c r="A66" s="3" t="s">
        <v>21</v>
      </c>
      <c r="B66" s="3" t="s">
        <v>35</v>
      </c>
      <c r="C66" s="3" t="s">
        <v>36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13.705</v>
      </c>
      <c r="M66" s="4">
        <v>13.705</v>
      </c>
      <c r="N66" s="4">
        <v>13.705</v>
      </c>
      <c r="O66" s="4">
        <v>13.705</v>
      </c>
      <c r="P66" s="4">
        <v>0</v>
      </c>
      <c r="Q66" s="3" t="s">
        <v>26</v>
      </c>
      <c r="R66" s="3">
        <v>0</v>
      </c>
      <c r="S66" s="4">
        <v>0</v>
      </c>
      <c r="T66" s="4">
        <v>13</v>
      </c>
      <c r="U66" s="4">
        <v>42</v>
      </c>
      <c r="V66" s="4">
        <f>IF(ISERROR(VLOOKUP($S$66,'TAR FIN'!$A$1:$O$88,15,0)),0,VLOOKUP($S$66,'TAR FIN'!$A$1:$O$88,15,0))</f>
        <v>0</v>
      </c>
      <c r="W66" s="4">
        <f>IF(ISERROR(VLOOKUP($T$66,'TAR FIN'!$A$1:$O$88,15,0)),0,VLOOKUP($T$66,'TAR FIN'!$A$1:$O$88,15,0))</f>
        <v>2490.0500000000002</v>
      </c>
      <c r="X66" s="4">
        <f>IF(ISERROR(VLOOKUP($U$66,'TAR FIN'!$A$1:$O$88,15,0)),0,VLOOKUP($U$66,'TAR FIN'!$A$1:$O$88,15,0))</f>
        <v>165.21</v>
      </c>
      <c r="Y66" s="4"/>
      <c r="Z66" s="4">
        <f ca="1">('TUSD BE'!$AM$11+'TUSD BF'!$AM$11+'TUSD CVA'!$AM$11)*1</f>
        <v>2655.9538256104047</v>
      </c>
      <c r="AA66" s="4">
        <f>('TE BE'!$AB$5+'TE BF'!$AB$5+'TE CVA'!$AB$5)*1</f>
        <v>153.95741395122897</v>
      </c>
      <c r="AB66" s="4">
        <f>$K$66*$V$66</f>
        <v>0</v>
      </c>
      <c r="AC66" s="4">
        <f>$M$66*$W$66</f>
        <v>34126.135249999999</v>
      </c>
      <c r="AD66" s="4">
        <f>$O$66*$X$66</f>
        <v>2264.2030500000001</v>
      </c>
      <c r="AE66" s="4">
        <f>$K$66*$Y$66</f>
        <v>0</v>
      </c>
      <c r="AF66" s="4">
        <f ca="1">$M$66*$Z$66</f>
        <v>36399.847179990596</v>
      </c>
      <c r="AG66" s="4">
        <f>$O$66*$AA$66</f>
        <v>2109.9863582015932</v>
      </c>
    </row>
    <row r="67" spans="1:33" ht="11.25" customHeight="1" x14ac:dyDescent="0.25">
      <c r="A67" s="3" t="s">
        <v>21</v>
      </c>
      <c r="B67" s="3" t="s">
        <v>35</v>
      </c>
      <c r="C67" s="3" t="s">
        <v>36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15.427</v>
      </c>
      <c r="M67" s="4">
        <v>15.427</v>
      </c>
      <c r="N67" s="4">
        <v>15.427</v>
      </c>
      <c r="O67" s="4">
        <v>15.427</v>
      </c>
      <c r="P67" s="4">
        <v>0</v>
      </c>
      <c r="Q67" s="3" t="s">
        <v>26</v>
      </c>
      <c r="R67" s="3">
        <v>0</v>
      </c>
      <c r="S67" s="4">
        <v>0</v>
      </c>
      <c r="T67" s="4">
        <v>13</v>
      </c>
      <c r="U67" s="4">
        <v>42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2490.0500000000002</v>
      </c>
      <c r="X67" s="4">
        <f>IF(ISERROR(VLOOKUP($U$67,'TAR FIN'!$A$1:$O$88,15,0)),0,VLOOKUP($U$67,'TAR FIN'!$A$1:$O$88,15,0))</f>
        <v>165.21</v>
      </c>
      <c r="Y67" s="4"/>
      <c r="Z67" s="4">
        <f ca="1">('TUSD BE'!$AM$11+'TUSD BF'!$AM$11+'TUSD CVA'!$AM$11)*1</f>
        <v>2655.9538256104047</v>
      </c>
      <c r="AA67" s="4">
        <f>('TE BE'!$AB$5+'TE BF'!$AB$5+'TE CVA'!$AB$5)*1</f>
        <v>153.95741395122897</v>
      </c>
      <c r="AB67" s="4">
        <f>$K$67*$V$67</f>
        <v>0</v>
      </c>
      <c r="AC67" s="4">
        <f>$M$67*$W$67</f>
        <v>38414.001349999999</v>
      </c>
      <c r="AD67" s="4">
        <f>$O$67*$X$67</f>
        <v>2548.6946699999999</v>
      </c>
      <c r="AE67" s="4">
        <f>$K$67*$Y$67</f>
        <v>0</v>
      </c>
      <c r="AF67" s="4">
        <f ca="1">$M$67*$Z$67</f>
        <v>40973.399667691709</v>
      </c>
      <c r="AG67" s="4">
        <f>$O$67*$AA$67</f>
        <v>2375.1010250256095</v>
      </c>
    </row>
    <row r="68" spans="1:33" ht="11.25" customHeight="1" x14ac:dyDescent="0.25">
      <c r="A68" s="3" t="s">
        <v>21</v>
      </c>
      <c r="B68" s="3" t="s">
        <v>35</v>
      </c>
      <c r="C68" s="3" t="s">
        <v>36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14.944000000000001</v>
      </c>
      <c r="M68" s="4">
        <v>14.944000000000001</v>
      </c>
      <c r="N68" s="4">
        <v>14.944000000000001</v>
      </c>
      <c r="O68" s="4">
        <v>14.944000000000001</v>
      </c>
      <c r="P68" s="4">
        <v>0</v>
      </c>
      <c r="Q68" s="3" t="s">
        <v>26</v>
      </c>
      <c r="R68" s="3">
        <v>0</v>
      </c>
      <c r="S68" s="4">
        <v>0</v>
      </c>
      <c r="T68" s="4">
        <v>13</v>
      </c>
      <c r="U68" s="4">
        <v>42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2490.0500000000002</v>
      </c>
      <c r="X68" s="4">
        <f>IF(ISERROR(VLOOKUP($U$68,'TAR FIN'!$A$1:$O$88,15,0)),0,VLOOKUP($U$68,'TAR FIN'!$A$1:$O$88,15,0))</f>
        <v>165.21</v>
      </c>
      <c r="Y68" s="4"/>
      <c r="Z68" s="4">
        <f ca="1">('TUSD BE'!$AM$11+'TUSD BF'!$AM$11+'TUSD CVA'!$AM$11)*1</f>
        <v>2655.9538256104047</v>
      </c>
      <c r="AA68" s="4">
        <f>('TE BE'!$AB$5+'TE BF'!$AB$5+'TE CVA'!$AB$5)*1</f>
        <v>153.95741395122897</v>
      </c>
      <c r="AB68" s="4">
        <f>$K$68*$V$68</f>
        <v>0</v>
      </c>
      <c r="AC68" s="4">
        <f>$M$68*$W$68</f>
        <v>37211.307200000003</v>
      </c>
      <c r="AD68" s="4">
        <f>$O$68*$X$68</f>
        <v>2468.8982400000004</v>
      </c>
      <c r="AE68" s="4">
        <f>$K$68*$Y$68</f>
        <v>0</v>
      </c>
      <c r="AF68" s="4">
        <f ca="1">$M$68*$Z$68</f>
        <v>39690.57396992189</v>
      </c>
      <c r="AG68" s="4">
        <f>$O$68*$AA$68</f>
        <v>2300.7395940871661</v>
      </c>
    </row>
    <row r="69" spans="1:33" ht="11.25" customHeight="1" x14ac:dyDescent="0.25">
      <c r="A69" s="3" t="s">
        <v>21</v>
      </c>
      <c r="B69" s="3" t="s">
        <v>35</v>
      </c>
      <c r="C69" s="3" t="s">
        <v>36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12.222</v>
      </c>
      <c r="M69" s="4">
        <v>12.222</v>
      </c>
      <c r="N69" s="4">
        <v>12.222</v>
      </c>
      <c r="O69" s="4">
        <v>12.222</v>
      </c>
      <c r="P69" s="4">
        <v>0</v>
      </c>
      <c r="Q69" s="3" t="s">
        <v>26</v>
      </c>
      <c r="R69" s="3">
        <v>0</v>
      </c>
      <c r="S69" s="4">
        <v>0</v>
      </c>
      <c r="T69" s="4">
        <v>13</v>
      </c>
      <c r="U69" s="4">
        <v>42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2490.0500000000002</v>
      </c>
      <c r="X69" s="4">
        <f>IF(ISERROR(VLOOKUP($U$69,'TAR FIN'!$A$1:$O$88,15,0)),0,VLOOKUP($U$69,'TAR FIN'!$A$1:$O$88,15,0))</f>
        <v>165.21</v>
      </c>
      <c r="Y69" s="4"/>
      <c r="Z69" s="4">
        <f ca="1">('TUSD BE'!$AM$11+'TUSD BF'!$AM$11+'TUSD CVA'!$AM$11)*1</f>
        <v>2655.9538256104047</v>
      </c>
      <c r="AA69" s="4">
        <f>('TE BE'!$AB$5+'TE BF'!$AB$5+'TE CVA'!$AB$5)*1</f>
        <v>153.95741395122897</v>
      </c>
      <c r="AB69" s="4">
        <f>$K$69*$V$69</f>
        <v>0</v>
      </c>
      <c r="AC69" s="4">
        <f>$M$69*$W$69</f>
        <v>30433.391100000001</v>
      </c>
      <c r="AD69" s="4">
        <f>$O$69*$X$69</f>
        <v>2019.1966199999999</v>
      </c>
      <c r="AE69" s="4">
        <f>$K$69*$Y$69</f>
        <v>0</v>
      </c>
      <c r="AF69" s="4">
        <f ca="1">$M$69*$Z$69</f>
        <v>32461.067656610365</v>
      </c>
      <c r="AG69" s="4">
        <f>$O$69*$AA$69</f>
        <v>1881.6675133119204</v>
      </c>
    </row>
    <row r="70" spans="1:33" ht="11.25" customHeight="1" x14ac:dyDescent="0.25">
      <c r="A70" s="3" t="s">
        <v>21</v>
      </c>
      <c r="B70" s="3" t="s">
        <v>35</v>
      </c>
      <c r="C70" s="3" t="s">
        <v>36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11.316000000000001</v>
      </c>
      <c r="M70" s="4">
        <v>11.316000000000001</v>
      </c>
      <c r="N70" s="4">
        <v>11.316000000000001</v>
      </c>
      <c r="O70" s="4">
        <v>11.316000000000001</v>
      </c>
      <c r="P70" s="4">
        <v>0</v>
      </c>
      <c r="Q70" s="3" t="s">
        <v>26</v>
      </c>
      <c r="R70" s="3">
        <v>0</v>
      </c>
      <c r="S70" s="4">
        <v>0</v>
      </c>
      <c r="T70" s="4">
        <v>13</v>
      </c>
      <c r="U70" s="4">
        <v>42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2490.0500000000002</v>
      </c>
      <c r="X70" s="4">
        <f>IF(ISERROR(VLOOKUP($U$70,'TAR FIN'!$A$1:$O$88,15,0)),0,VLOOKUP($U$70,'TAR FIN'!$A$1:$O$88,15,0))</f>
        <v>165.21</v>
      </c>
      <c r="Y70" s="4"/>
      <c r="Z70" s="4">
        <f ca="1">('TUSD BE'!$AM$11+'TUSD BF'!$AM$11+'TUSD CVA'!$AM$11)*1</f>
        <v>2655.9538256104047</v>
      </c>
      <c r="AA70" s="4">
        <f>('TE BE'!$AB$5+'TE BF'!$AB$5+'TE CVA'!$AB$5)*1</f>
        <v>153.95741395122897</v>
      </c>
      <c r="AB70" s="4">
        <f>$K$70*$V$70</f>
        <v>0</v>
      </c>
      <c r="AC70" s="4">
        <f>$M$70*$W$70</f>
        <v>28177.405800000004</v>
      </c>
      <c r="AD70" s="4">
        <f>$O$70*$X$70</f>
        <v>1869.5163600000003</v>
      </c>
      <c r="AE70" s="4">
        <f>$K$70*$Y$70</f>
        <v>0</v>
      </c>
      <c r="AF70" s="4">
        <f ca="1">$M$70*$Z$70</f>
        <v>30054.773490607342</v>
      </c>
      <c r="AG70" s="4">
        <f>$O$70*$AA$70</f>
        <v>1742.1820962721072</v>
      </c>
    </row>
    <row r="71" spans="1:33" ht="11.25" customHeight="1" x14ac:dyDescent="0.25">
      <c r="A71" s="3" t="s">
        <v>21</v>
      </c>
      <c r="B71" s="3" t="s">
        <v>35</v>
      </c>
      <c r="C71" s="3" t="s">
        <v>36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10.59</v>
      </c>
      <c r="M71" s="4">
        <v>10.59</v>
      </c>
      <c r="N71" s="4">
        <v>10.59</v>
      </c>
      <c r="O71" s="4">
        <v>10.59</v>
      </c>
      <c r="P71" s="4">
        <v>0</v>
      </c>
      <c r="Q71" s="3" t="s">
        <v>26</v>
      </c>
      <c r="R71" s="3">
        <v>0</v>
      </c>
      <c r="S71" s="4">
        <v>0</v>
      </c>
      <c r="T71" s="4">
        <v>13</v>
      </c>
      <c r="U71" s="4">
        <v>42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2490.0500000000002</v>
      </c>
      <c r="X71" s="4">
        <f>IF(ISERROR(VLOOKUP($U$71,'TAR FIN'!$A$1:$O$88,15,0)),0,VLOOKUP($U$71,'TAR FIN'!$A$1:$O$88,15,0))</f>
        <v>165.21</v>
      </c>
      <c r="Y71" s="4"/>
      <c r="Z71" s="4">
        <f ca="1">('TUSD BE'!$AM$11+'TUSD BF'!$AM$11+'TUSD CVA'!$AM$11)*1</f>
        <v>2655.9538256104047</v>
      </c>
      <c r="AA71" s="4">
        <f>('TE BE'!$AB$5+'TE BF'!$AB$5+'TE CVA'!$AB$5)*1</f>
        <v>153.95741395122897</v>
      </c>
      <c r="AB71" s="4">
        <f>$K$71*$V$71</f>
        <v>0</v>
      </c>
      <c r="AC71" s="4">
        <f>$M$71*$W$71</f>
        <v>26369.629500000003</v>
      </c>
      <c r="AD71" s="4">
        <f>$O$71*$X$71</f>
        <v>1749.5739000000001</v>
      </c>
      <c r="AE71" s="4">
        <f>$K$71*$Y$71</f>
        <v>0</v>
      </c>
      <c r="AF71" s="4">
        <f ca="1">$M$71*$Z$71</f>
        <v>28126.551013214186</v>
      </c>
      <c r="AG71" s="4">
        <f>$O$71*$AA$71</f>
        <v>1630.4090137435148</v>
      </c>
    </row>
    <row r="72" spans="1:33" ht="11.25" customHeight="1" x14ac:dyDescent="0.25">
      <c r="A72" s="3" t="s">
        <v>21</v>
      </c>
      <c r="B72" s="3" t="s">
        <v>35</v>
      </c>
      <c r="C72" s="3" t="s">
        <v>36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12.12</v>
      </c>
      <c r="M72" s="4">
        <v>12.12</v>
      </c>
      <c r="N72" s="4">
        <v>12.12</v>
      </c>
      <c r="O72" s="4">
        <v>12.12</v>
      </c>
      <c r="P72" s="4">
        <v>0</v>
      </c>
      <c r="Q72" s="3" t="s">
        <v>26</v>
      </c>
      <c r="R72" s="3">
        <v>0</v>
      </c>
      <c r="S72" s="4">
        <v>0</v>
      </c>
      <c r="T72" s="4">
        <v>13</v>
      </c>
      <c r="U72" s="4">
        <v>42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2490.0500000000002</v>
      </c>
      <c r="X72" s="4">
        <f>IF(ISERROR(VLOOKUP($U$72,'TAR FIN'!$A$1:$O$88,15,0)),0,VLOOKUP($U$72,'TAR FIN'!$A$1:$O$88,15,0))</f>
        <v>165.21</v>
      </c>
      <c r="Y72" s="4"/>
      <c r="Z72" s="4">
        <f ca="1">('TUSD BE'!$AM$11+'TUSD BF'!$AM$11+'TUSD CVA'!$AM$11)*1</f>
        <v>2655.9538256104047</v>
      </c>
      <c r="AA72" s="4">
        <f>('TE BE'!$AB$5+'TE BF'!$AB$5+'TE CVA'!$AB$5)*1</f>
        <v>153.95741395122897</v>
      </c>
      <c r="AB72" s="4">
        <f>$K$72*$V$72</f>
        <v>0</v>
      </c>
      <c r="AC72" s="4">
        <f>$M$72*$W$72</f>
        <v>30179.405999999999</v>
      </c>
      <c r="AD72" s="4">
        <f>$O$72*$X$72</f>
        <v>2002.3452</v>
      </c>
      <c r="AE72" s="4">
        <f>$K$72*$Y$72</f>
        <v>0</v>
      </c>
      <c r="AF72" s="4">
        <f ca="1">$M$72*$Z$72</f>
        <v>32190.160366398104</v>
      </c>
      <c r="AG72" s="4">
        <f>$O$72*$AA$72</f>
        <v>1865.9638570888951</v>
      </c>
    </row>
    <row r="73" spans="1:33" ht="11.25" customHeight="1" x14ac:dyDescent="0.25">
      <c r="A73" s="3" t="s">
        <v>21</v>
      </c>
      <c r="B73" s="3" t="s">
        <v>35</v>
      </c>
      <c r="C73" s="3" t="s">
        <v>36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12.395</v>
      </c>
      <c r="M73" s="4">
        <v>12.395</v>
      </c>
      <c r="N73" s="4">
        <v>12.395</v>
      </c>
      <c r="O73" s="4">
        <v>12.395</v>
      </c>
      <c r="P73" s="4">
        <v>0</v>
      </c>
      <c r="Q73" s="3" t="s">
        <v>26</v>
      </c>
      <c r="R73" s="3">
        <v>0</v>
      </c>
      <c r="S73" s="4">
        <v>0</v>
      </c>
      <c r="T73" s="4">
        <v>13</v>
      </c>
      <c r="U73" s="4">
        <v>42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2490.0500000000002</v>
      </c>
      <c r="X73" s="4">
        <f>IF(ISERROR(VLOOKUP($U$73,'TAR FIN'!$A$1:$O$88,15,0)),0,VLOOKUP($U$73,'TAR FIN'!$A$1:$O$88,15,0))</f>
        <v>165.21</v>
      </c>
      <c r="Y73" s="4"/>
      <c r="Z73" s="4">
        <f ca="1">('TUSD BE'!$AM$11+'TUSD BF'!$AM$11+'TUSD CVA'!$AM$11)*1</f>
        <v>2655.9538256104047</v>
      </c>
      <c r="AA73" s="4">
        <f>('TE BE'!$AB$5+'TE BF'!$AB$5+'TE CVA'!$AB$5)*1</f>
        <v>153.95741395122897</v>
      </c>
      <c r="AB73" s="4">
        <f>$K$73*$V$73</f>
        <v>0</v>
      </c>
      <c r="AC73" s="4">
        <f>$M$73*$W$73</f>
        <v>30864.169750000001</v>
      </c>
      <c r="AD73" s="4">
        <f>$O$73*$X$73</f>
        <v>2047.7779499999999</v>
      </c>
      <c r="AE73" s="4">
        <f>$K$73*$Y$73</f>
        <v>0</v>
      </c>
      <c r="AF73" s="4">
        <f ca="1">$M$73*$Z$73</f>
        <v>32920.547668440966</v>
      </c>
      <c r="AG73" s="4">
        <f>$O$73*$AA$73</f>
        <v>1908.302145925483</v>
      </c>
    </row>
    <row r="74" spans="1:33" ht="11.25" customHeight="1" x14ac:dyDescent="0.25">
      <c r="A74" s="3" t="s">
        <v>21</v>
      </c>
      <c r="B74" s="3" t="s">
        <v>35</v>
      </c>
      <c r="C74" s="3" t="s">
        <v>36</v>
      </c>
      <c r="D74" s="3" t="s">
        <v>47</v>
      </c>
      <c r="E74" s="3" t="s">
        <v>48</v>
      </c>
      <c r="F74" s="3" t="s">
        <v>25</v>
      </c>
      <c r="G74" s="3" t="s">
        <v>25</v>
      </c>
      <c r="H74" s="3" t="s">
        <v>38</v>
      </c>
      <c r="I74" s="6">
        <v>44440</v>
      </c>
      <c r="J74" s="4">
        <v>0</v>
      </c>
      <c r="K74" s="52">
        <v>0</v>
      </c>
      <c r="L74" s="4">
        <v>8.5280000000000005</v>
      </c>
      <c r="M74" s="52">
        <v>8.5280000000000005</v>
      </c>
      <c r="N74" s="4">
        <v>8.5280000000000005</v>
      </c>
      <c r="O74" s="52">
        <v>8.5280000000000005</v>
      </c>
      <c r="P74" s="4">
        <v>0</v>
      </c>
      <c r="Q74" s="3" t="s">
        <v>26</v>
      </c>
      <c r="R74" s="3">
        <v>0</v>
      </c>
      <c r="S74" s="4">
        <v>0</v>
      </c>
      <c r="T74" s="4">
        <v>11</v>
      </c>
      <c r="U74" s="4">
        <v>56</v>
      </c>
      <c r="V74" s="52">
        <f>IF(ISERROR(VLOOKUP($S$74,'TAR FIN'!$A$1:$O$88,15,0)),0,VLOOKUP($S$74,'TAR FIN'!$A$1:$O$88,15,0))</f>
        <v>0</v>
      </c>
      <c r="W74" s="52">
        <f>IF(ISERROR(VLOOKUP($T$74,'TAR FIN'!$A$1:$O$88,15,0)),0,VLOOKUP($T$74,'TAR FIN'!$A$1:$O$88,15,0))*(1-0.06)</f>
        <v>63.468799999999995</v>
      </c>
      <c r="X74" s="52">
        <f>IF(ISERROR(VLOOKUP($U$74,'TAR FIN'!$A$1:$O$88,15,0)),0,VLOOKUP($U$74,'TAR FIN'!$A$1:$O$88,15,0))*(1-0.06)</f>
        <v>155.29740000000001</v>
      </c>
      <c r="Y74" s="52"/>
      <c r="Z74" s="52">
        <f ca="1">('TUSD BE'!$AM$12+'TUSD BF'!$AM$12+'TUSD CVA'!$AM$12)*1*(1-0.03)</f>
        <v>94.5230843835228</v>
      </c>
      <c r="AA74" s="52">
        <f>('TE BE'!$AB$6+'TE BF'!$AB$6+'TE CVA'!$AB$6)*1*(1-0.03)</f>
        <v>149.33869153269211</v>
      </c>
      <c r="AB74" s="4">
        <f>$K$74*$V$74</f>
        <v>0</v>
      </c>
      <c r="AC74" s="4">
        <f>$M$74*$W$74</f>
        <v>541.26192639999999</v>
      </c>
      <c r="AD74" s="4">
        <f>$O$74*$X$74</f>
        <v>1324.3762272000001</v>
      </c>
      <c r="AE74" s="4">
        <f>$K$74*$Y$74</f>
        <v>0</v>
      </c>
      <c r="AF74" s="4">
        <f ca="1">$M$74*$Z$74</f>
        <v>806.09286362268244</v>
      </c>
      <c r="AG74" s="4">
        <f>$O$74*$AA$74</f>
        <v>1273.5603613907983</v>
      </c>
    </row>
    <row r="75" spans="1:33" ht="11.25" customHeight="1" x14ac:dyDescent="0.25">
      <c r="A75" s="3" t="s">
        <v>21</v>
      </c>
      <c r="B75" s="3" t="s">
        <v>35</v>
      </c>
      <c r="C75" s="3" t="s">
        <v>36</v>
      </c>
      <c r="D75" s="3" t="s">
        <v>47</v>
      </c>
      <c r="E75" s="3" t="s">
        <v>48</v>
      </c>
      <c r="F75" s="3" t="s">
        <v>25</v>
      </c>
      <c r="G75" s="3" t="s">
        <v>25</v>
      </c>
      <c r="H75" s="3" t="s">
        <v>38</v>
      </c>
      <c r="I75" s="6">
        <v>44470</v>
      </c>
      <c r="J75" s="4">
        <v>0</v>
      </c>
      <c r="K75" s="52">
        <v>0</v>
      </c>
      <c r="L75" s="4">
        <v>9.7170000000000005</v>
      </c>
      <c r="M75" s="52">
        <v>9.7170000000000005</v>
      </c>
      <c r="N75" s="4">
        <v>9.7170000000000005</v>
      </c>
      <c r="O75" s="52">
        <v>9.7170000000000005</v>
      </c>
      <c r="P75" s="4">
        <v>0</v>
      </c>
      <c r="Q75" s="3" t="s">
        <v>26</v>
      </c>
      <c r="R75" s="3">
        <v>0</v>
      </c>
      <c r="S75" s="4">
        <v>0</v>
      </c>
      <c r="T75" s="4">
        <v>11</v>
      </c>
      <c r="U75" s="4">
        <v>56</v>
      </c>
      <c r="V75" s="52">
        <f>IF(ISERROR(VLOOKUP($S$75,'TAR FIN'!$A$1:$O$88,15,0)),0,VLOOKUP($S$75,'TAR FIN'!$A$1:$O$88,15,0))</f>
        <v>0</v>
      </c>
      <c r="W75" s="52">
        <f>IF(ISERROR(VLOOKUP($T$75,'TAR FIN'!$A$1:$O$88,15,0)),0,VLOOKUP($T$75,'TAR FIN'!$A$1:$O$88,15,0))*(1-0.06)</f>
        <v>63.468799999999995</v>
      </c>
      <c r="X75" s="52">
        <f>IF(ISERROR(VLOOKUP($U$75,'TAR FIN'!$A$1:$O$88,15,0)),0,VLOOKUP($U$75,'TAR FIN'!$A$1:$O$88,15,0))*(1-0.06)</f>
        <v>155.29740000000001</v>
      </c>
      <c r="Y75" s="52"/>
      <c r="Z75" s="52">
        <f ca="1">('TUSD BE'!$AM$12+'TUSD BF'!$AM$12+'TUSD CVA'!$AM$12)*1*(1-0.03)</f>
        <v>94.5230843835228</v>
      </c>
      <c r="AA75" s="52">
        <f>('TE BE'!$AB$6+'TE BF'!$AB$6+'TE CVA'!$AB$6)*1*(1-0.03)</f>
        <v>149.33869153269211</v>
      </c>
      <c r="AB75" s="4">
        <f>$K$75*$V$75</f>
        <v>0</v>
      </c>
      <c r="AC75" s="4">
        <f>$M$75*$W$75</f>
        <v>616.72632959999999</v>
      </c>
      <c r="AD75" s="4">
        <f>$O$75*$X$75</f>
        <v>1509.0248358000001</v>
      </c>
      <c r="AE75" s="4">
        <f>$K$75*$Y$75</f>
        <v>0</v>
      </c>
      <c r="AF75" s="4">
        <f ca="1">$M$75*$Z$75</f>
        <v>918.48081095469115</v>
      </c>
      <c r="AG75" s="4">
        <f>$O$75*$AA$75</f>
        <v>1451.1240656231694</v>
      </c>
    </row>
    <row r="76" spans="1:33" ht="11.25" customHeight="1" x14ac:dyDescent="0.25">
      <c r="A76" s="3" t="s">
        <v>21</v>
      </c>
      <c r="B76" s="3" t="s">
        <v>35</v>
      </c>
      <c r="C76" s="3" t="s">
        <v>36</v>
      </c>
      <c r="D76" s="3" t="s">
        <v>47</v>
      </c>
      <c r="E76" s="3" t="s">
        <v>48</v>
      </c>
      <c r="F76" s="3" t="s">
        <v>25</v>
      </c>
      <c r="G76" s="3" t="s">
        <v>25</v>
      </c>
      <c r="H76" s="3" t="s">
        <v>38</v>
      </c>
      <c r="I76" s="6">
        <v>44501</v>
      </c>
      <c r="J76" s="4">
        <v>0</v>
      </c>
      <c r="K76" s="52">
        <v>0</v>
      </c>
      <c r="L76" s="4">
        <v>10.782999999999999</v>
      </c>
      <c r="M76" s="52">
        <v>10.782999999999999</v>
      </c>
      <c r="N76" s="4">
        <v>10.782999999999999</v>
      </c>
      <c r="O76" s="52">
        <v>10.782999999999999</v>
      </c>
      <c r="P76" s="4">
        <v>0</v>
      </c>
      <c r="Q76" s="3" t="s">
        <v>26</v>
      </c>
      <c r="R76" s="3">
        <v>0</v>
      </c>
      <c r="S76" s="4">
        <v>0</v>
      </c>
      <c r="T76" s="4">
        <v>11</v>
      </c>
      <c r="U76" s="4">
        <v>56</v>
      </c>
      <c r="V76" s="52">
        <f>IF(ISERROR(VLOOKUP($S$76,'TAR FIN'!$A$1:$O$88,15,0)),0,VLOOKUP($S$76,'TAR FIN'!$A$1:$O$88,15,0))</f>
        <v>0</v>
      </c>
      <c r="W76" s="52">
        <f>IF(ISERROR(VLOOKUP($T$76,'TAR FIN'!$A$1:$O$88,15,0)),0,VLOOKUP($T$76,'TAR FIN'!$A$1:$O$88,15,0))*(1-0.06)</f>
        <v>63.468799999999995</v>
      </c>
      <c r="X76" s="52">
        <f>IF(ISERROR(VLOOKUP($U$76,'TAR FIN'!$A$1:$O$88,15,0)),0,VLOOKUP($U$76,'TAR FIN'!$A$1:$O$88,15,0))*(1-0.06)</f>
        <v>155.29740000000001</v>
      </c>
      <c r="Y76" s="52"/>
      <c r="Z76" s="52">
        <f ca="1">('TUSD BE'!$AM$12+'TUSD BF'!$AM$12+'TUSD CVA'!$AM$12)*1*(1-0.03)</f>
        <v>94.5230843835228</v>
      </c>
      <c r="AA76" s="52">
        <f>('TE BE'!$AB$6+'TE BF'!$AB$6+'TE CVA'!$AB$6)*1*(1-0.03)</f>
        <v>149.33869153269211</v>
      </c>
      <c r="AB76" s="4">
        <f>$K$76*$V$76</f>
        <v>0</v>
      </c>
      <c r="AC76" s="4">
        <f>$M$76*$W$76</f>
        <v>684.38407039999993</v>
      </c>
      <c r="AD76" s="4">
        <f>$O$76*$X$76</f>
        <v>1674.5718641999999</v>
      </c>
      <c r="AE76" s="4">
        <f>$K$76*$Y$76</f>
        <v>0</v>
      </c>
      <c r="AF76" s="4">
        <f ca="1">$M$76*$Z$76</f>
        <v>1019.2424189075263</v>
      </c>
      <c r="AG76" s="4">
        <f>$O$76*$AA$76</f>
        <v>1610.319110797019</v>
      </c>
    </row>
    <row r="77" spans="1:33" ht="11.25" customHeight="1" x14ac:dyDescent="0.25">
      <c r="A77" s="3" t="s">
        <v>21</v>
      </c>
      <c r="B77" s="3" t="s">
        <v>35</v>
      </c>
      <c r="C77" s="3" t="s">
        <v>36</v>
      </c>
      <c r="D77" s="3" t="s">
        <v>47</v>
      </c>
      <c r="E77" s="3" t="s">
        <v>48</v>
      </c>
      <c r="F77" s="3" t="s">
        <v>25</v>
      </c>
      <c r="G77" s="3" t="s">
        <v>25</v>
      </c>
      <c r="H77" s="3" t="s">
        <v>38</v>
      </c>
      <c r="I77" s="6">
        <v>44531</v>
      </c>
      <c r="J77" s="4">
        <v>0</v>
      </c>
      <c r="K77" s="52">
        <v>0</v>
      </c>
      <c r="L77" s="4">
        <v>9.3480000000000008</v>
      </c>
      <c r="M77" s="52">
        <v>9.3480000000000008</v>
      </c>
      <c r="N77" s="4">
        <v>9.3480000000000008</v>
      </c>
      <c r="O77" s="52">
        <v>9.3480000000000008</v>
      </c>
      <c r="P77" s="4">
        <v>0</v>
      </c>
      <c r="Q77" s="3" t="s">
        <v>26</v>
      </c>
      <c r="R77" s="3">
        <v>0</v>
      </c>
      <c r="S77" s="4">
        <v>0</v>
      </c>
      <c r="T77" s="4">
        <v>11</v>
      </c>
      <c r="U77" s="4">
        <v>56</v>
      </c>
      <c r="V77" s="52">
        <f>IF(ISERROR(VLOOKUP($S$77,'TAR FIN'!$A$1:$O$88,15,0)),0,VLOOKUP($S$77,'TAR FIN'!$A$1:$O$88,15,0))</f>
        <v>0</v>
      </c>
      <c r="W77" s="52">
        <f>IF(ISERROR(VLOOKUP($T$77,'TAR FIN'!$A$1:$O$88,15,0)),0,VLOOKUP($T$77,'TAR FIN'!$A$1:$O$88,15,0))*(1-0.06)</f>
        <v>63.468799999999995</v>
      </c>
      <c r="X77" s="52">
        <f>IF(ISERROR(VLOOKUP($U$77,'TAR FIN'!$A$1:$O$88,15,0)),0,VLOOKUP($U$77,'TAR FIN'!$A$1:$O$88,15,0))*(1-0.06)</f>
        <v>155.29740000000001</v>
      </c>
      <c r="Y77" s="52"/>
      <c r="Z77" s="52">
        <f ca="1">('TUSD BE'!$AM$12+'TUSD BF'!$AM$12+'TUSD CVA'!$AM$12)*1*(1-0.03)</f>
        <v>94.5230843835228</v>
      </c>
      <c r="AA77" s="52">
        <f>('TE BE'!$AB$6+'TE BF'!$AB$6+'TE CVA'!$AB$6)*1*(1-0.03)</f>
        <v>149.33869153269211</v>
      </c>
      <c r="AB77" s="4">
        <f>$K$77*$V$77</f>
        <v>0</v>
      </c>
      <c r="AC77" s="4">
        <f>$M$77*$W$77</f>
        <v>593.30634239999995</v>
      </c>
      <c r="AD77" s="4">
        <f>$O$77*$X$77</f>
        <v>1451.7200952000003</v>
      </c>
      <c r="AE77" s="4">
        <f>$K$77*$Y$77</f>
        <v>0</v>
      </c>
      <c r="AF77" s="4">
        <f ca="1">$M$77*$Z$77</f>
        <v>883.60179281717126</v>
      </c>
      <c r="AG77" s="4">
        <f>$O$77*$AA$77</f>
        <v>1396.018088447606</v>
      </c>
    </row>
    <row r="78" spans="1:33" ht="11.25" customHeight="1" x14ac:dyDescent="0.25">
      <c r="A78" s="3" t="s">
        <v>21</v>
      </c>
      <c r="B78" s="3" t="s">
        <v>35</v>
      </c>
      <c r="C78" s="3" t="s">
        <v>36</v>
      </c>
      <c r="D78" s="3" t="s">
        <v>47</v>
      </c>
      <c r="E78" s="3" t="s">
        <v>48</v>
      </c>
      <c r="F78" s="3" t="s">
        <v>25</v>
      </c>
      <c r="G78" s="3" t="s">
        <v>25</v>
      </c>
      <c r="H78" s="3" t="s">
        <v>38</v>
      </c>
      <c r="I78" s="6">
        <v>44562</v>
      </c>
      <c r="J78" s="4">
        <v>0</v>
      </c>
      <c r="K78" s="52">
        <v>0</v>
      </c>
      <c r="L78" s="4">
        <v>9.9629999999999992</v>
      </c>
      <c r="M78" s="52">
        <v>9.9629999999999992</v>
      </c>
      <c r="N78" s="4">
        <v>9.9629999999999992</v>
      </c>
      <c r="O78" s="52">
        <v>9.9629999999999992</v>
      </c>
      <c r="P78" s="4">
        <v>0</v>
      </c>
      <c r="Q78" s="3" t="s">
        <v>26</v>
      </c>
      <c r="R78" s="3">
        <v>0</v>
      </c>
      <c r="S78" s="4">
        <v>0</v>
      </c>
      <c r="T78" s="4">
        <v>11</v>
      </c>
      <c r="U78" s="4">
        <v>56</v>
      </c>
      <c r="V78" s="52">
        <f>IF(ISERROR(VLOOKUP($S$78,'TAR FIN'!$A$1:$O$88,15,0)),0,VLOOKUP($S$78,'TAR FIN'!$A$1:$O$88,15,0))</f>
        <v>0</v>
      </c>
      <c r="W78" s="52">
        <f>IF(ISERROR(VLOOKUP($T$78,'TAR FIN'!$A$1:$O$88,15,0)),0,VLOOKUP($T$78,'TAR FIN'!$A$1:$O$88,15,0))*(1-0.06)</f>
        <v>63.468799999999995</v>
      </c>
      <c r="X78" s="52">
        <f>IF(ISERROR(VLOOKUP($U$78,'TAR FIN'!$A$1:$O$88,15,0)),0,VLOOKUP($U$78,'TAR FIN'!$A$1:$O$88,15,0))*(1-0.06)</f>
        <v>155.29740000000001</v>
      </c>
      <c r="Y78" s="52"/>
      <c r="Z78" s="52">
        <f ca="1">('TUSD BE'!$AM$12+'TUSD BF'!$AM$12+'TUSD CVA'!$AM$12)*1*(1-0.03)</f>
        <v>94.5230843835228</v>
      </c>
      <c r="AA78" s="52">
        <f>('TE BE'!$AB$6+'TE BF'!$AB$6+'TE CVA'!$AB$6)*1*(1-0.03)</f>
        <v>149.33869153269211</v>
      </c>
      <c r="AB78" s="4">
        <f>$K$78*$V$78</f>
        <v>0</v>
      </c>
      <c r="AC78" s="4">
        <f>$M$78*$W$78</f>
        <v>632.33965439999986</v>
      </c>
      <c r="AD78" s="4">
        <f>$O$78*$X$78</f>
        <v>1547.2279962</v>
      </c>
      <c r="AE78" s="4">
        <f>$K$78*$Y$78</f>
        <v>0</v>
      </c>
      <c r="AF78" s="4">
        <f ca="1">$M$78*$Z$78</f>
        <v>941.73348971303756</v>
      </c>
      <c r="AG78" s="4">
        <f>$O$78*$AA$78</f>
        <v>1487.8613837402113</v>
      </c>
    </row>
    <row r="79" spans="1:33" ht="11.25" customHeight="1" x14ac:dyDescent="0.25">
      <c r="A79" s="3" t="s">
        <v>21</v>
      </c>
      <c r="B79" s="3" t="s">
        <v>35</v>
      </c>
      <c r="C79" s="3" t="s">
        <v>36</v>
      </c>
      <c r="D79" s="3" t="s">
        <v>47</v>
      </c>
      <c r="E79" s="3" t="s">
        <v>48</v>
      </c>
      <c r="F79" s="3" t="s">
        <v>25</v>
      </c>
      <c r="G79" s="3" t="s">
        <v>25</v>
      </c>
      <c r="H79" s="3" t="s">
        <v>38</v>
      </c>
      <c r="I79" s="6">
        <v>44593</v>
      </c>
      <c r="J79" s="4">
        <v>0</v>
      </c>
      <c r="K79" s="52">
        <v>0</v>
      </c>
      <c r="L79" s="4">
        <v>9.2249999999999996</v>
      </c>
      <c r="M79" s="52">
        <v>9.2249999999999996</v>
      </c>
      <c r="N79" s="4">
        <v>9.2249999999999996</v>
      </c>
      <c r="O79" s="52">
        <v>9.2249999999999996</v>
      </c>
      <c r="P79" s="4">
        <v>0</v>
      </c>
      <c r="Q79" s="3" t="s">
        <v>26</v>
      </c>
      <c r="R79" s="3">
        <v>0</v>
      </c>
      <c r="S79" s="4">
        <v>0</v>
      </c>
      <c r="T79" s="4">
        <v>11</v>
      </c>
      <c r="U79" s="4">
        <v>56</v>
      </c>
      <c r="V79" s="52">
        <f>IF(ISERROR(VLOOKUP($S$79,'TAR FIN'!$A$1:$O$88,15,0)),0,VLOOKUP($S$79,'TAR FIN'!$A$1:$O$88,15,0))</f>
        <v>0</v>
      </c>
      <c r="W79" s="52">
        <f>IF(ISERROR(VLOOKUP($T$79,'TAR FIN'!$A$1:$O$88,15,0)),0,VLOOKUP($T$79,'TAR FIN'!$A$1:$O$88,15,0))*(1-0.06)</f>
        <v>63.468799999999995</v>
      </c>
      <c r="X79" s="52">
        <f>IF(ISERROR(VLOOKUP($U$79,'TAR FIN'!$A$1:$O$88,15,0)),0,VLOOKUP($U$79,'TAR FIN'!$A$1:$O$88,15,0))*(1-0.06)</f>
        <v>155.29740000000001</v>
      </c>
      <c r="Y79" s="52"/>
      <c r="Z79" s="52">
        <f ca="1">('TUSD BE'!$AM$12+'TUSD BF'!$AM$12+'TUSD CVA'!$AM$12)*1*(1-0.03)</f>
        <v>94.5230843835228</v>
      </c>
      <c r="AA79" s="52">
        <f>('TE BE'!$AB$6+'TE BF'!$AB$6+'TE CVA'!$AB$6)*1*(1-0.03)</f>
        <v>149.33869153269211</v>
      </c>
      <c r="AB79" s="4">
        <f>$K$79*$V$79</f>
        <v>0</v>
      </c>
      <c r="AC79" s="4">
        <f>$M$79*$W$79</f>
        <v>585.4996799999999</v>
      </c>
      <c r="AD79" s="4">
        <f>$O$79*$X$79</f>
        <v>1432.6185150000001</v>
      </c>
      <c r="AE79" s="4">
        <f>$K$79*$Y$79</f>
        <v>0</v>
      </c>
      <c r="AF79" s="4">
        <f ca="1">$M$79*$Z$79</f>
        <v>871.97545343799777</v>
      </c>
      <c r="AG79" s="4">
        <f>$O$79*$AA$79</f>
        <v>1377.6494293890846</v>
      </c>
    </row>
    <row r="80" spans="1:33" ht="11.25" customHeight="1" x14ac:dyDescent="0.25">
      <c r="A80" s="3" t="s">
        <v>21</v>
      </c>
      <c r="B80" s="3" t="s">
        <v>35</v>
      </c>
      <c r="C80" s="3" t="s">
        <v>36</v>
      </c>
      <c r="D80" s="3" t="s">
        <v>47</v>
      </c>
      <c r="E80" s="3" t="s">
        <v>48</v>
      </c>
      <c r="F80" s="3" t="s">
        <v>25</v>
      </c>
      <c r="G80" s="3" t="s">
        <v>25</v>
      </c>
      <c r="H80" s="3" t="s">
        <v>38</v>
      </c>
      <c r="I80" s="6">
        <v>44621</v>
      </c>
      <c r="J80" s="4">
        <v>0</v>
      </c>
      <c r="K80" s="52">
        <v>0</v>
      </c>
      <c r="L80" s="4">
        <v>9.3889999999999993</v>
      </c>
      <c r="M80" s="52">
        <v>9.3889999999999993</v>
      </c>
      <c r="N80" s="4">
        <v>9.3889999999999993</v>
      </c>
      <c r="O80" s="52">
        <v>9.3889999999999993</v>
      </c>
      <c r="P80" s="4">
        <v>0</v>
      </c>
      <c r="Q80" s="3" t="s">
        <v>26</v>
      </c>
      <c r="R80" s="3">
        <v>0</v>
      </c>
      <c r="S80" s="4">
        <v>0</v>
      </c>
      <c r="T80" s="4">
        <v>11</v>
      </c>
      <c r="U80" s="4">
        <v>56</v>
      </c>
      <c r="V80" s="52">
        <f>IF(ISERROR(VLOOKUP($S$80,'TAR FIN'!$A$1:$O$88,15,0)),0,VLOOKUP($S$80,'TAR FIN'!$A$1:$O$88,15,0))</f>
        <v>0</v>
      </c>
      <c r="W80" s="52">
        <f>IF(ISERROR(VLOOKUP($T$80,'TAR FIN'!$A$1:$O$88,15,0)),0,VLOOKUP($T$80,'TAR FIN'!$A$1:$O$88,15,0))*(1-0.06)</f>
        <v>63.468799999999995</v>
      </c>
      <c r="X80" s="52">
        <f>IF(ISERROR(VLOOKUP($U$80,'TAR FIN'!$A$1:$O$88,15,0)),0,VLOOKUP($U$80,'TAR FIN'!$A$1:$O$88,15,0))*(1-0.06)</f>
        <v>155.29740000000001</v>
      </c>
      <c r="Y80" s="52"/>
      <c r="Z80" s="52">
        <f ca="1">('TUSD BE'!$AM$12+'TUSD BF'!$AM$12+'TUSD CVA'!$AM$12)*1*(1-0.03)</f>
        <v>94.5230843835228</v>
      </c>
      <c r="AA80" s="52">
        <f>('TE BE'!$AB$6+'TE BF'!$AB$6+'TE CVA'!$AB$6)*1*(1-0.03)</f>
        <v>149.33869153269211</v>
      </c>
      <c r="AB80" s="4">
        <f>$K$80*$V$80</f>
        <v>0</v>
      </c>
      <c r="AC80" s="4">
        <f>$M$80*$W$80</f>
        <v>595.90856319999989</v>
      </c>
      <c r="AD80" s="4">
        <f>$O$80*$X$80</f>
        <v>1458.0872886</v>
      </c>
      <c r="AE80" s="4">
        <f>$K$80*$Y$80</f>
        <v>0</v>
      </c>
      <c r="AF80" s="4">
        <f ca="1">$M$80*$Z$80</f>
        <v>887.47723927689549</v>
      </c>
      <c r="AG80" s="4">
        <f>$O$80*$AA$80</f>
        <v>1402.1409748004462</v>
      </c>
    </row>
    <row r="81" spans="1:33" ht="11.25" customHeight="1" x14ac:dyDescent="0.25">
      <c r="A81" s="3" t="s">
        <v>21</v>
      </c>
      <c r="B81" s="3" t="s">
        <v>35</v>
      </c>
      <c r="C81" s="3" t="s">
        <v>36</v>
      </c>
      <c r="D81" s="3" t="s">
        <v>47</v>
      </c>
      <c r="E81" s="3" t="s">
        <v>48</v>
      </c>
      <c r="F81" s="3" t="s">
        <v>25</v>
      </c>
      <c r="G81" s="3" t="s">
        <v>25</v>
      </c>
      <c r="H81" s="3" t="s">
        <v>38</v>
      </c>
      <c r="I81" s="6">
        <v>44652</v>
      </c>
      <c r="J81" s="4">
        <v>0</v>
      </c>
      <c r="K81" s="52">
        <v>0</v>
      </c>
      <c r="L81" s="4">
        <v>8.4049999999999994</v>
      </c>
      <c r="M81" s="52">
        <v>8.4049999999999994</v>
      </c>
      <c r="N81" s="4">
        <v>8.4049999999999994</v>
      </c>
      <c r="O81" s="52">
        <v>8.4049999999999994</v>
      </c>
      <c r="P81" s="4">
        <v>0</v>
      </c>
      <c r="Q81" s="3" t="s">
        <v>26</v>
      </c>
      <c r="R81" s="3">
        <v>0</v>
      </c>
      <c r="S81" s="4">
        <v>0</v>
      </c>
      <c r="T81" s="4">
        <v>11</v>
      </c>
      <c r="U81" s="4">
        <v>56</v>
      </c>
      <c r="V81" s="52">
        <f>IF(ISERROR(VLOOKUP($S$81,'TAR FIN'!$A$1:$O$88,15,0)),0,VLOOKUP($S$81,'TAR FIN'!$A$1:$O$88,15,0))</f>
        <v>0</v>
      </c>
      <c r="W81" s="52">
        <f>IF(ISERROR(VLOOKUP($T$81,'TAR FIN'!$A$1:$O$88,15,0)),0,VLOOKUP($T$81,'TAR FIN'!$A$1:$O$88,15,0))*(1-0.06)</f>
        <v>63.468799999999995</v>
      </c>
      <c r="X81" s="52">
        <f>IF(ISERROR(VLOOKUP($U$81,'TAR FIN'!$A$1:$O$88,15,0)),0,VLOOKUP($U$81,'TAR FIN'!$A$1:$O$88,15,0))*(1-0.06)</f>
        <v>155.29740000000001</v>
      </c>
      <c r="Y81" s="52"/>
      <c r="Z81" s="52">
        <f ca="1">('TUSD BE'!$AM$12+'TUSD BF'!$AM$12+'TUSD CVA'!$AM$12)*1*(1-0.03)</f>
        <v>94.5230843835228</v>
      </c>
      <c r="AA81" s="52">
        <f>('TE BE'!$AB$6+'TE BF'!$AB$6+'TE CVA'!$AB$6)*1*(1-0.03)</f>
        <v>149.33869153269211</v>
      </c>
      <c r="AB81" s="4">
        <f>$K$81*$V$81</f>
        <v>0</v>
      </c>
      <c r="AC81" s="4">
        <f>$M$81*$W$81</f>
        <v>533.45526399999994</v>
      </c>
      <c r="AD81" s="4">
        <f>$O$81*$X$81</f>
        <v>1305.274647</v>
      </c>
      <c r="AE81" s="4">
        <f>$K$81*$Y$81</f>
        <v>0</v>
      </c>
      <c r="AF81" s="4">
        <f ca="1">$M$81*$Z$81</f>
        <v>794.46652424350907</v>
      </c>
      <c r="AG81" s="4">
        <f>$O$81*$AA$81</f>
        <v>1255.1917023322771</v>
      </c>
    </row>
    <row r="82" spans="1:33" ht="11.25" customHeight="1" x14ac:dyDescent="0.25">
      <c r="A82" s="3" t="s">
        <v>21</v>
      </c>
      <c r="B82" s="3" t="s">
        <v>35</v>
      </c>
      <c r="C82" s="3" t="s">
        <v>36</v>
      </c>
      <c r="D82" s="3" t="s">
        <v>47</v>
      </c>
      <c r="E82" s="3" t="s">
        <v>48</v>
      </c>
      <c r="F82" s="3" t="s">
        <v>25</v>
      </c>
      <c r="G82" s="3" t="s">
        <v>25</v>
      </c>
      <c r="H82" s="3" t="s">
        <v>38</v>
      </c>
      <c r="I82" s="6">
        <v>44682</v>
      </c>
      <c r="J82" s="4">
        <v>0</v>
      </c>
      <c r="K82" s="52">
        <v>0</v>
      </c>
      <c r="L82" s="4">
        <v>8.0359999999999996</v>
      </c>
      <c r="M82" s="52">
        <v>8.0359999999999996</v>
      </c>
      <c r="N82" s="4">
        <v>8.0359999999999996</v>
      </c>
      <c r="O82" s="52">
        <v>8.0359999999999996</v>
      </c>
      <c r="P82" s="4">
        <v>0</v>
      </c>
      <c r="Q82" s="3" t="s">
        <v>26</v>
      </c>
      <c r="R82" s="3">
        <v>0</v>
      </c>
      <c r="S82" s="4">
        <v>0</v>
      </c>
      <c r="T82" s="4">
        <v>11</v>
      </c>
      <c r="U82" s="4">
        <v>56</v>
      </c>
      <c r="V82" s="52">
        <f>IF(ISERROR(VLOOKUP($S$82,'TAR FIN'!$A$1:$O$88,15,0)),0,VLOOKUP($S$82,'TAR FIN'!$A$1:$O$88,15,0))</f>
        <v>0</v>
      </c>
      <c r="W82" s="52">
        <f>IF(ISERROR(VLOOKUP($T$82,'TAR FIN'!$A$1:$O$88,15,0)),0,VLOOKUP($T$82,'TAR FIN'!$A$1:$O$88,15,0))*(1-0.06)</f>
        <v>63.468799999999995</v>
      </c>
      <c r="X82" s="52">
        <f>IF(ISERROR(VLOOKUP($U$82,'TAR FIN'!$A$1:$O$88,15,0)),0,VLOOKUP($U$82,'TAR FIN'!$A$1:$O$88,15,0))*(1-0.06)</f>
        <v>155.29740000000001</v>
      </c>
      <c r="Y82" s="52"/>
      <c r="Z82" s="52">
        <f ca="1">('TUSD BE'!$AM$12+'TUSD BF'!$AM$12+'TUSD CVA'!$AM$12)*1*(1-0.03)</f>
        <v>94.5230843835228</v>
      </c>
      <c r="AA82" s="52">
        <f>('TE BE'!$AB$6+'TE BF'!$AB$6+'TE CVA'!$AB$6)*1*(1-0.03)</f>
        <v>149.33869153269211</v>
      </c>
      <c r="AB82" s="4">
        <f>$K$82*$V$82</f>
        <v>0</v>
      </c>
      <c r="AC82" s="4">
        <f>$M$82*$W$82</f>
        <v>510.03527679999991</v>
      </c>
      <c r="AD82" s="4">
        <f>$O$82*$X$82</f>
        <v>1247.9699064000001</v>
      </c>
      <c r="AE82" s="4">
        <f>$K$82*$Y$82</f>
        <v>0</v>
      </c>
      <c r="AF82" s="4">
        <f ca="1">$M$82*$Z$82</f>
        <v>759.58750610598918</v>
      </c>
      <c r="AG82" s="4">
        <f>$O$82*$AA$82</f>
        <v>1200.0857251567138</v>
      </c>
    </row>
    <row r="83" spans="1:33" ht="11.25" customHeight="1" x14ac:dyDescent="0.25">
      <c r="A83" s="3" t="s">
        <v>21</v>
      </c>
      <c r="B83" s="3" t="s">
        <v>35</v>
      </c>
      <c r="C83" s="3" t="s">
        <v>36</v>
      </c>
      <c r="D83" s="3" t="s">
        <v>47</v>
      </c>
      <c r="E83" s="3" t="s">
        <v>48</v>
      </c>
      <c r="F83" s="3" t="s">
        <v>25</v>
      </c>
      <c r="G83" s="3" t="s">
        <v>25</v>
      </c>
      <c r="H83" s="3" t="s">
        <v>38</v>
      </c>
      <c r="I83" s="6">
        <v>44713</v>
      </c>
      <c r="J83" s="4">
        <v>0</v>
      </c>
      <c r="K83" s="52">
        <v>0</v>
      </c>
      <c r="L83" s="4">
        <v>9.3480000000000008</v>
      </c>
      <c r="M83" s="52">
        <v>9.3480000000000008</v>
      </c>
      <c r="N83" s="4">
        <v>9.3480000000000008</v>
      </c>
      <c r="O83" s="52">
        <v>9.3480000000000008</v>
      </c>
      <c r="P83" s="4">
        <v>0</v>
      </c>
      <c r="Q83" s="3" t="s">
        <v>26</v>
      </c>
      <c r="R83" s="3">
        <v>0</v>
      </c>
      <c r="S83" s="4">
        <v>0</v>
      </c>
      <c r="T83" s="4">
        <v>11</v>
      </c>
      <c r="U83" s="4">
        <v>56</v>
      </c>
      <c r="V83" s="52">
        <f>IF(ISERROR(VLOOKUP($S$83,'TAR FIN'!$A$1:$O$88,15,0)),0,VLOOKUP($S$83,'TAR FIN'!$A$1:$O$88,15,0))</f>
        <v>0</v>
      </c>
      <c r="W83" s="52">
        <f>IF(ISERROR(VLOOKUP($T$83,'TAR FIN'!$A$1:$O$88,15,0)),0,VLOOKUP($T$83,'TAR FIN'!$A$1:$O$88,15,0))*(1-0.06)</f>
        <v>63.468799999999995</v>
      </c>
      <c r="X83" s="52">
        <f>IF(ISERROR(VLOOKUP($U$83,'TAR FIN'!$A$1:$O$88,15,0)),0,VLOOKUP($U$83,'TAR FIN'!$A$1:$O$88,15,0))*(1-0.06)</f>
        <v>155.29740000000001</v>
      </c>
      <c r="Y83" s="52"/>
      <c r="Z83" s="52">
        <f ca="1">('TUSD BE'!$AM$12+'TUSD BF'!$AM$12+'TUSD CVA'!$AM$12)*1*(1-0.03)</f>
        <v>94.5230843835228</v>
      </c>
      <c r="AA83" s="52">
        <f>('TE BE'!$AB$6+'TE BF'!$AB$6+'TE CVA'!$AB$6)*1*(1-0.03)</f>
        <v>149.33869153269211</v>
      </c>
      <c r="AB83" s="4">
        <f>$K$83*$V$83</f>
        <v>0</v>
      </c>
      <c r="AC83" s="4">
        <f>$M$83*$W$83</f>
        <v>593.30634239999995</v>
      </c>
      <c r="AD83" s="4">
        <f>$O$83*$X$83</f>
        <v>1451.7200952000003</v>
      </c>
      <c r="AE83" s="4">
        <f>$K$83*$Y$83</f>
        <v>0</v>
      </c>
      <c r="AF83" s="4">
        <f ca="1">$M$83*$Z$83</f>
        <v>883.60179281717126</v>
      </c>
      <c r="AG83" s="4">
        <f>$O$83*$AA$83</f>
        <v>1396.018088447606</v>
      </c>
    </row>
    <row r="84" spans="1:33" ht="11.25" customHeight="1" x14ac:dyDescent="0.25">
      <c r="A84" s="3" t="s">
        <v>21</v>
      </c>
      <c r="B84" s="3" t="s">
        <v>35</v>
      </c>
      <c r="C84" s="3" t="s">
        <v>36</v>
      </c>
      <c r="D84" s="3" t="s">
        <v>47</v>
      </c>
      <c r="E84" s="3" t="s">
        <v>48</v>
      </c>
      <c r="F84" s="3" t="s">
        <v>25</v>
      </c>
      <c r="G84" s="3" t="s">
        <v>25</v>
      </c>
      <c r="H84" s="3" t="s">
        <v>38</v>
      </c>
      <c r="I84" s="6">
        <v>44743</v>
      </c>
      <c r="J84" s="4">
        <v>0</v>
      </c>
      <c r="K84" s="52">
        <v>0</v>
      </c>
      <c r="L84" s="4">
        <v>9.02</v>
      </c>
      <c r="M84" s="52">
        <v>9.02</v>
      </c>
      <c r="N84" s="4">
        <v>9.02</v>
      </c>
      <c r="O84" s="52">
        <v>9.02</v>
      </c>
      <c r="P84" s="4">
        <v>0</v>
      </c>
      <c r="Q84" s="3" t="s">
        <v>26</v>
      </c>
      <c r="R84" s="3">
        <v>0</v>
      </c>
      <c r="S84" s="4">
        <v>0</v>
      </c>
      <c r="T84" s="4">
        <v>11</v>
      </c>
      <c r="U84" s="4">
        <v>56</v>
      </c>
      <c r="V84" s="52">
        <f>IF(ISERROR(VLOOKUP($S$84,'TAR FIN'!$A$1:$O$88,15,0)),0,VLOOKUP($S$84,'TAR FIN'!$A$1:$O$88,15,0))</f>
        <v>0</v>
      </c>
      <c r="W84" s="52">
        <f>IF(ISERROR(VLOOKUP($T$84,'TAR FIN'!$A$1:$O$88,15,0)),0,VLOOKUP($T$84,'TAR FIN'!$A$1:$O$88,15,0))*(1-0.06)</f>
        <v>63.468799999999995</v>
      </c>
      <c r="X84" s="52">
        <f>IF(ISERROR(VLOOKUP($U$84,'TAR FIN'!$A$1:$O$88,15,0)),0,VLOOKUP($U$84,'TAR FIN'!$A$1:$O$88,15,0))*(1-0.06)</f>
        <v>155.29740000000001</v>
      </c>
      <c r="Y84" s="52"/>
      <c r="Z84" s="52">
        <f ca="1">('TUSD BE'!$AM$12+'TUSD BF'!$AM$12+'TUSD CVA'!$AM$12)*1*(1-0.03)</f>
        <v>94.5230843835228</v>
      </c>
      <c r="AA84" s="52">
        <f>('TE BE'!$AB$6+'TE BF'!$AB$6+'TE CVA'!$AB$6)*1*(1-0.03)</f>
        <v>149.33869153269211</v>
      </c>
      <c r="AB84" s="4">
        <f>$K$84*$V$84</f>
        <v>0</v>
      </c>
      <c r="AC84" s="4">
        <f>$M$84*$W$84</f>
        <v>572.48857599999997</v>
      </c>
      <c r="AD84" s="4">
        <f>$O$84*$X$84</f>
        <v>1400.7825480000001</v>
      </c>
      <c r="AE84" s="4">
        <f>$K$84*$Y$84</f>
        <v>0</v>
      </c>
      <c r="AF84" s="4">
        <f ca="1">$M$84*$Z$84</f>
        <v>852.5982211393756</v>
      </c>
      <c r="AG84" s="4">
        <f>$O$84*$AA$84</f>
        <v>1347.0349976248829</v>
      </c>
    </row>
    <row r="85" spans="1:33" ht="11.25" customHeight="1" x14ac:dyDescent="0.25">
      <c r="A85" s="3" t="s">
        <v>21</v>
      </c>
      <c r="B85" s="3" t="s">
        <v>35</v>
      </c>
      <c r="C85" s="3" t="s">
        <v>36</v>
      </c>
      <c r="D85" s="3" t="s">
        <v>47</v>
      </c>
      <c r="E85" s="3" t="s">
        <v>48</v>
      </c>
      <c r="F85" s="3" t="s">
        <v>25</v>
      </c>
      <c r="G85" s="3" t="s">
        <v>25</v>
      </c>
      <c r="H85" s="3" t="s">
        <v>38</v>
      </c>
      <c r="I85" s="6">
        <v>44774</v>
      </c>
      <c r="J85" s="4">
        <v>0</v>
      </c>
      <c r="K85" s="52">
        <v>0</v>
      </c>
      <c r="L85" s="4">
        <v>8.8559999999999999</v>
      </c>
      <c r="M85" s="52">
        <v>8.8559999999999999</v>
      </c>
      <c r="N85" s="4">
        <v>8.8559999999999999</v>
      </c>
      <c r="O85" s="52">
        <v>8.8559999999999999</v>
      </c>
      <c r="P85" s="4">
        <v>0</v>
      </c>
      <c r="Q85" s="3" t="s">
        <v>26</v>
      </c>
      <c r="R85" s="3">
        <v>0</v>
      </c>
      <c r="S85" s="4">
        <v>0</v>
      </c>
      <c r="T85" s="4">
        <v>11</v>
      </c>
      <c r="U85" s="4">
        <v>56</v>
      </c>
      <c r="V85" s="52">
        <f>IF(ISERROR(VLOOKUP($S$85,'TAR FIN'!$A$1:$O$88,15,0)),0,VLOOKUP($S$85,'TAR FIN'!$A$1:$O$88,15,0))</f>
        <v>0</v>
      </c>
      <c r="W85" s="52">
        <f>IF(ISERROR(VLOOKUP($T$85,'TAR FIN'!$A$1:$O$88,15,0)),0,VLOOKUP($T$85,'TAR FIN'!$A$1:$O$88,15,0))*(1-0.06)</f>
        <v>63.468799999999995</v>
      </c>
      <c r="X85" s="52">
        <f>IF(ISERROR(VLOOKUP($U$85,'TAR FIN'!$A$1:$O$88,15,0)),0,VLOOKUP($U$85,'TAR FIN'!$A$1:$O$88,15,0))*(1-0.06)</f>
        <v>155.29740000000001</v>
      </c>
      <c r="Y85" s="52"/>
      <c r="Z85" s="52">
        <f ca="1">('TUSD BE'!$AM$12+'TUSD BF'!$AM$12+'TUSD CVA'!$AM$12)*1*(1-0.03)</f>
        <v>94.5230843835228</v>
      </c>
      <c r="AA85" s="52">
        <f>('TE BE'!$AB$6+'TE BF'!$AB$6+'TE CVA'!$AB$6)*1*(1-0.03)</f>
        <v>149.33869153269211</v>
      </c>
      <c r="AB85" s="4">
        <f>$K$85*$V$85</f>
        <v>0</v>
      </c>
      <c r="AC85" s="4">
        <f>$M$85*$W$85</f>
        <v>562.07969279999998</v>
      </c>
      <c r="AD85" s="4">
        <f>$O$85*$X$85</f>
        <v>1375.3137744000001</v>
      </c>
      <c r="AE85" s="4">
        <f>$K$85*$Y$85</f>
        <v>0</v>
      </c>
      <c r="AF85" s="4">
        <f ca="1">$M$85*$Z$85</f>
        <v>837.09643530047788</v>
      </c>
      <c r="AG85" s="4">
        <f>$O$85*$AA$85</f>
        <v>1322.5434522135213</v>
      </c>
    </row>
    <row r="86" spans="1:33" ht="11.25" customHeight="1" x14ac:dyDescent="0.25">
      <c r="A86" s="3" t="s">
        <v>21</v>
      </c>
      <c r="B86" s="3" t="s">
        <v>35</v>
      </c>
      <c r="C86" s="3" t="s">
        <v>36</v>
      </c>
      <c r="D86" s="3" t="s">
        <v>47</v>
      </c>
      <c r="E86" s="3" t="s">
        <v>48</v>
      </c>
      <c r="F86" s="3" t="s">
        <v>25</v>
      </c>
      <c r="G86" s="3" t="s">
        <v>25</v>
      </c>
      <c r="H86" s="3" t="s">
        <v>25</v>
      </c>
      <c r="I86" s="6">
        <v>44440</v>
      </c>
      <c r="J86" s="4">
        <v>55</v>
      </c>
      <c r="K86" s="53">
        <v>55</v>
      </c>
      <c r="L86" s="4">
        <v>0</v>
      </c>
      <c r="M86" s="52">
        <v>0</v>
      </c>
      <c r="N86" s="4">
        <v>0</v>
      </c>
      <c r="O86" s="52">
        <v>0</v>
      </c>
      <c r="P86" s="4">
        <v>1</v>
      </c>
      <c r="Q86" s="3" t="s">
        <v>26</v>
      </c>
      <c r="R86" s="3">
        <v>0</v>
      </c>
      <c r="S86" s="4">
        <v>7</v>
      </c>
      <c r="T86" s="4">
        <v>0</v>
      </c>
      <c r="U86" s="4">
        <v>0</v>
      </c>
      <c r="V86" s="52">
        <f>IF(ISERROR(VLOOKUP($S$86,'TAR FIN'!$A$1:$O$88,15,0)),0,VLOOKUP($S$86,'TAR FIN'!$A$1:$O$88,15,0))*(1-0.06)</f>
        <v>30.286799999999996</v>
      </c>
      <c r="W86" s="52">
        <f>IF(ISERROR(VLOOKUP($T$86,'TAR FIN'!$A$1:$O$88,15,0)),0,VLOOKUP($T$86,'TAR FIN'!$A$1:$O$88,15,0))</f>
        <v>0</v>
      </c>
      <c r="X86" s="52">
        <f>IF(ISERROR(VLOOKUP($U$86,'TAR FIN'!$A$1:$O$88,15,0)),0,VLOOKUP($U$86,'TAR FIN'!$A$1:$O$88,15,0))</f>
        <v>0</v>
      </c>
      <c r="Y86" s="52">
        <f ca="1">('TUSD BE'!$AM$10+'TUSD BF'!$AM$10+'TUSD CVA'!$AM$10)*1*(1-0.03)</f>
        <v>33.372692675387505</v>
      </c>
      <c r="Z86" s="52"/>
      <c r="AA86" s="52"/>
      <c r="AB86" s="4">
        <f>$K$86*$V$86</f>
        <v>1665.7739999999999</v>
      </c>
      <c r="AC86" s="4">
        <f>$M$86*$W$86</f>
        <v>0</v>
      </c>
      <c r="AD86" s="4">
        <f>$O$86*$X$86</f>
        <v>0</v>
      </c>
      <c r="AE86" s="4">
        <f ca="1">$K$86*$Y$86</f>
        <v>1835.4980971463128</v>
      </c>
      <c r="AF86" s="4">
        <f>$M$86*$Z$86</f>
        <v>0</v>
      </c>
      <c r="AG86" s="4">
        <f>$O$86*$AA$86</f>
        <v>0</v>
      </c>
    </row>
    <row r="87" spans="1:33" ht="11.25" customHeight="1" x14ac:dyDescent="0.25">
      <c r="A87" s="3" t="s">
        <v>21</v>
      </c>
      <c r="B87" s="3" t="s">
        <v>35</v>
      </c>
      <c r="C87" s="3" t="s">
        <v>36</v>
      </c>
      <c r="D87" s="3" t="s">
        <v>47</v>
      </c>
      <c r="E87" s="3" t="s">
        <v>48</v>
      </c>
      <c r="F87" s="3" t="s">
        <v>25</v>
      </c>
      <c r="G87" s="3" t="s">
        <v>25</v>
      </c>
      <c r="H87" s="3" t="s">
        <v>25</v>
      </c>
      <c r="I87" s="6">
        <v>44470</v>
      </c>
      <c r="J87" s="4">
        <v>55</v>
      </c>
      <c r="K87" s="53">
        <v>55</v>
      </c>
      <c r="L87" s="4">
        <v>0</v>
      </c>
      <c r="M87" s="52">
        <v>0</v>
      </c>
      <c r="N87" s="4">
        <v>0</v>
      </c>
      <c r="O87" s="52">
        <v>0</v>
      </c>
      <c r="P87" s="4">
        <v>1</v>
      </c>
      <c r="Q87" s="3" t="s">
        <v>26</v>
      </c>
      <c r="R87" s="3">
        <v>0</v>
      </c>
      <c r="S87" s="4">
        <v>7</v>
      </c>
      <c r="T87" s="4">
        <v>0</v>
      </c>
      <c r="U87" s="4">
        <v>0</v>
      </c>
      <c r="V87" s="52">
        <f>IF(ISERROR(VLOOKUP($S$87,'TAR FIN'!$A$1:$O$88,15,0)),0,VLOOKUP($S$87,'TAR FIN'!$A$1:$O$88,15,0))*(1-0.06)</f>
        <v>30.286799999999996</v>
      </c>
      <c r="W87" s="52">
        <f>IF(ISERROR(VLOOKUP($T$87,'TAR FIN'!$A$1:$O$88,15,0)),0,VLOOKUP($T$87,'TAR FIN'!$A$1:$O$88,15,0))</f>
        <v>0</v>
      </c>
      <c r="X87" s="52">
        <f>IF(ISERROR(VLOOKUP($U$87,'TAR FIN'!$A$1:$O$88,15,0)),0,VLOOKUP($U$87,'TAR FIN'!$A$1:$O$88,15,0))</f>
        <v>0</v>
      </c>
      <c r="Y87" s="52">
        <f ca="1">('TUSD BE'!$AM$10+'TUSD BF'!$AM$10+'TUSD CVA'!$AM$10)*1*(1-0.03)</f>
        <v>33.372692675387505</v>
      </c>
      <c r="Z87" s="52"/>
      <c r="AA87" s="52"/>
      <c r="AB87" s="4">
        <f>$K$87*$V$87</f>
        <v>1665.7739999999999</v>
      </c>
      <c r="AC87" s="4">
        <f>$M$87*$W$87</f>
        <v>0</v>
      </c>
      <c r="AD87" s="4">
        <f>$O$87*$X$87</f>
        <v>0</v>
      </c>
      <c r="AE87" s="4">
        <f ca="1">$K$87*$Y$87</f>
        <v>1835.4980971463128</v>
      </c>
      <c r="AF87" s="4">
        <f>$M$87*$Z$87</f>
        <v>0</v>
      </c>
      <c r="AG87" s="4">
        <f>$O$87*$AA$87</f>
        <v>0</v>
      </c>
    </row>
    <row r="88" spans="1:33" ht="11.25" customHeight="1" x14ac:dyDescent="0.25">
      <c r="A88" s="3" t="s">
        <v>21</v>
      </c>
      <c r="B88" s="3" t="s">
        <v>35</v>
      </c>
      <c r="C88" s="3" t="s">
        <v>36</v>
      </c>
      <c r="D88" s="3" t="s">
        <v>47</v>
      </c>
      <c r="E88" s="3" t="s">
        <v>48</v>
      </c>
      <c r="F88" s="3" t="s">
        <v>25</v>
      </c>
      <c r="G88" s="3" t="s">
        <v>25</v>
      </c>
      <c r="H88" s="3" t="s">
        <v>25</v>
      </c>
      <c r="I88" s="6">
        <v>44501</v>
      </c>
      <c r="J88" s="4">
        <v>55</v>
      </c>
      <c r="K88" s="53">
        <v>55</v>
      </c>
      <c r="L88" s="4">
        <v>0</v>
      </c>
      <c r="M88" s="52">
        <v>0</v>
      </c>
      <c r="N88" s="4">
        <v>0</v>
      </c>
      <c r="O88" s="52">
        <v>0</v>
      </c>
      <c r="P88" s="4">
        <v>1</v>
      </c>
      <c r="Q88" s="3" t="s">
        <v>26</v>
      </c>
      <c r="R88" s="3">
        <v>0</v>
      </c>
      <c r="S88" s="4">
        <v>7</v>
      </c>
      <c r="T88" s="4">
        <v>0</v>
      </c>
      <c r="U88" s="4">
        <v>0</v>
      </c>
      <c r="V88" s="52">
        <f>IF(ISERROR(VLOOKUP($S$88,'TAR FIN'!$A$1:$O$88,15,0)),0,VLOOKUP($S$88,'TAR FIN'!$A$1:$O$88,15,0))*(1-0.06)</f>
        <v>30.286799999999996</v>
      </c>
      <c r="W88" s="52">
        <f>IF(ISERROR(VLOOKUP($T$88,'TAR FIN'!$A$1:$O$88,15,0)),0,VLOOKUP($T$88,'TAR FIN'!$A$1:$O$88,15,0))</f>
        <v>0</v>
      </c>
      <c r="X88" s="52">
        <f>IF(ISERROR(VLOOKUP($U$88,'TAR FIN'!$A$1:$O$88,15,0)),0,VLOOKUP($U$88,'TAR FIN'!$A$1:$O$88,15,0))</f>
        <v>0</v>
      </c>
      <c r="Y88" s="52">
        <f ca="1">('TUSD BE'!$AM$10+'TUSD BF'!$AM$10+'TUSD CVA'!$AM$10)*1*(1-0.03)</f>
        <v>33.372692675387505</v>
      </c>
      <c r="Z88" s="52"/>
      <c r="AA88" s="52"/>
      <c r="AB88" s="4">
        <f>$K$88*$V$88</f>
        <v>1665.7739999999999</v>
      </c>
      <c r="AC88" s="4">
        <f>$M$88*$W$88</f>
        <v>0</v>
      </c>
      <c r="AD88" s="4">
        <f>$O$88*$X$88</f>
        <v>0</v>
      </c>
      <c r="AE88" s="4">
        <f ca="1">$K$88*$Y$88</f>
        <v>1835.4980971463128</v>
      </c>
      <c r="AF88" s="4">
        <f>$M$88*$Z$88</f>
        <v>0</v>
      </c>
      <c r="AG88" s="4">
        <f>$O$88*$AA$88</f>
        <v>0</v>
      </c>
    </row>
    <row r="89" spans="1:33" ht="11.25" customHeight="1" x14ac:dyDescent="0.25">
      <c r="A89" s="3" t="s">
        <v>21</v>
      </c>
      <c r="B89" s="3" t="s">
        <v>35</v>
      </c>
      <c r="C89" s="3" t="s">
        <v>36</v>
      </c>
      <c r="D89" s="3" t="s">
        <v>47</v>
      </c>
      <c r="E89" s="3" t="s">
        <v>48</v>
      </c>
      <c r="F89" s="3" t="s">
        <v>25</v>
      </c>
      <c r="G89" s="3" t="s">
        <v>25</v>
      </c>
      <c r="H89" s="3" t="s">
        <v>25</v>
      </c>
      <c r="I89" s="6">
        <v>44531</v>
      </c>
      <c r="J89" s="4">
        <v>55</v>
      </c>
      <c r="K89" s="53">
        <v>55</v>
      </c>
      <c r="L89" s="4">
        <v>0</v>
      </c>
      <c r="M89" s="52">
        <v>0</v>
      </c>
      <c r="N89" s="4">
        <v>0</v>
      </c>
      <c r="O89" s="52">
        <v>0</v>
      </c>
      <c r="P89" s="4">
        <v>1</v>
      </c>
      <c r="Q89" s="3" t="s">
        <v>26</v>
      </c>
      <c r="R89" s="3">
        <v>0</v>
      </c>
      <c r="S89" s="4">
        <v>7</v>
      </c>
      <c r="T89" s="4">
        <v>0</v>
      </c>
      <c r="U89" s="4">
        <v>0</v>
      </c>
      <c r="V89" s="52">
        <f>IF(ISERROR(VLOOKUP($S$89,'TAR FIN'!$A$1:$O$88,15,0)),0,VLOOKUP($S$89,'TAR FIN'!$A$1:$O$88,15,0))*(1-0.06)</f>
        <v>30.286799999999996</v>
      </c>
      <c r="W89" s="52">
        <f>IF(ISERROR(VLOOKUP($T$89,'TAR FIN'!$A$1:$O$88,15,0)),0,VLOOKUP($T$89,'TAR FIN'!$A$1:$O$88,15,0))</f>
        <v>0</v>
      </c>
      <c r="X89" s="52">
        <f>IF(ISERROR(VLOOKUP($U$89,'TAR FIN'!$A$1:$O$88,15,0)),0,VLOOKUP($U$89,'TAR FIN'!$A$1:$O$88,15,0))</f>
        <v>0</v>
      </c>
      <c r="Y89" s="52">
        <f ca="1">('TUSD BE'!$AM$10+'TUSD BF'!$AM$10+'TUSD CVA'!$AM$10)*1*(1-0.03)</f>
        <v>33.372692675387505</v>
      </c>
      <c r="Z89" s="52"/>
      <c r="AA89" s="52"/>
      <c r="AB89" s="4">
        <f>$K$89*$V$89</f>
        <v>1665.7739999999999</v>
      </c>
      <c r="AC89" s="4">
        <f>$M$89*$W$89</f>
        <v>0</v>
      </c>
      <c r="AD89" s="4">
        <f>$O$89*$X$89</f>
        <v>0</v>
      </c>
      <c r="AE89" s="4">
        <f ca="1">$K$89*$Y$89</f>
        <v>1835.4980971463128</v>
      </c>
      <c r="AF89" s="4">
        <f>$M$89*$Z$89</f>
        <v>0</v>
      </c>
      <c r="AG89" s="4">
        <f>$O$89*$AA$89</f>
        <v>0</v>
      </c>
    </row>
    <row r="90" spans="1:33" ht="11.25" customHeight="1" x14ac:dyDescent="0.25">
      <c r="A90" s="3" t="s">
        <v>21</v>
      </c>
      <c r="B90" s="3" t="s">
        <v>35</v>
      </c>
      <c r="C90" s="3" t="s">
        <v>36</v>
      </c>
      <c r="D90" s="3" t="s">
        <v>47</v>
      </c>
      <c r="E90" s="3" t="s">
        <v>48</v>
      </c>
      <c r="F90" s="3" t="s">
        <v>25</v>
      </c>
      <c r="G90" s="3" t="s">
        <v>25</v>
      </c>
      <c r="H90" s="3" t="s">
        <v>25</v>
      </c>
      <c r="I90" s="6">
        <v>44562</v>
      </c>
      <c r="J90" s="4">
        <v>55</v>
      </c>
      <c r="K90" s="53">
        <v>55</v>
      </c>
      <c r="L90" s="4">
        <v>0</v>
      </c>
      <c r="M90" s="52">
        <v>0</v>
      </c>
      <c r="N90" s="4">
        <v>0</v>
      </c>
      <c r="O90" s="52">
        <v>0</v>
      </c>
      <c r="P90" s="4">
        <v>1</v>
      </c>
      <c r="Q90" s="3" t="s">
        <v>26</v>
      </c>
      <c r="R90" s="3">
        <v>0</v>
      </c>
      <c r="S90" s="4">
        <v>7</v>
      </c>
      <c r="T90" s="4">
        <v>0</v>
      </c>
      <c r="U90" s="4">
        <v>0</v>
      </c>
      <c r="V90" s="52">
        <f>IF(ISERROR(VLOOKUP($S$90,'TAR FIN'!$A$1:$O$88,15,0)),0,VLOOKUP($S$90,'TAR FIN'!$A$1:$O$88,15,0))*(1-0.06)</f>
        <v>30.286799999999996</v>
      </c>
      <c r="W90" s="52">
        <f>IF(ISERROR(VLOOKUP($T$90,'TAR FIN'!$A$1:$O$88,15,0)),0,VLOOKUP($T$90,'TAR FIN'!$A$1:$O$88,15,0))</f>
        <v>0</v>
      </c>
      <c r="X90" s="52">
        <f>IF(ISERROR(VLOOKUP($U$90,'TAR FIN'!$A$1:$O$88,15,0)),0,VLOOKUP($U$90,'TAR FIN'!$A$1:$O$88,15,0))</f>
        <v>0</v>
      </c>
      <c r="Y90" s="52">
        <f ca="1">('TUSD BE'!$AM$10+'TUSD BF'!$AM$10+'TUSD CVA'!$AM$10)*1*(1-0.03)</f>
        <v>33.372692675387505</v>
      </c>
      <c r="Z90" s="52"/>
      <c r="AA90" s="52"/>
      <c r="AB90" s="4">
        <f>$K$90*$V$90</f>
        <v>1665.7739999999999</v>
      </c>
      <c r="AC90" s="4">
        <f>$M$90*$W$90</f>
        <v>0</v>
      </c>
      <c r="AD90" s="4">
        <f>$O$90*$X$90</f>
        <v>0</v>
      </c>
      <c r="AE90" s="4">
        <f ca="1">$K$90*$Y$90</f>
        <v>1835.4980971463128</v>
      </c>
      <c r="AF90" s="4">
        <f>$M$90*$Z$90</f>
        <v>0</v>
      </c>
      <c r="AG90" s="4">
        <f>$O$90*$AA$90</f>
        <v>0</v>
      </c>
    </row>
    <row r="91" spans="1:33" ht="11.25" customHeight="1" x14ac:dyDescent="0.25">
      <c r="A91" s="3" t="s">
        <v>21</v>
      </c>
      <c r="B91" s="3" t="s">
        <v>35</v>
      </c>
      <c r="C91" s="3" t="s">
        <v>36</v>
      </c>
      <c r="D91" s="3" t="s">
        <v>47</v>
      </c>
      <c r="E91" s="3" t="s">
        <v>48</v>
      </c>
      <c r="F91" s="3" t="s">
        <v>25</v>
      </c>
      <c r="G91" s="3" t="s">
        <v>25</v>
      </c>
      <c r="H91" s="3" t="s">
        <v>25</v>
      </c>
      <c r="I91" s="6">
        <v>44593</v>
      </c>
      <c r="J91" s="4">
        <v>55</v>
      </c>
      <c r="K91" s="53">
        <v>55</v>
      </c>
      <c r="L91" s="4">
        <v>0</v>
      </c>
      <c r="M91" s="52">
        <v>0</v>
      </c>
      <c r="N91" s="4">
        <v>0</v>
      </c>
      <c r="O91" s="52">
        <v>0</v>
      </c>
      <c r="P91" s="4">
        <v>1</v>
      </c>
      <c r="Q91" s="3" t="s">
        <v>26</v>
      </c>
      <c r="R91" s="3">
        <v>0</v>
      </c>
      <c r="S91" s="4">
        <v>7</v>
      </c>
      <c r="T91" s="4">
        <v>0</v>
      </c>
      <c r="U91" s="4">
        <v>0</v>
      </c>
      <c r="V91" s="52">
        <f>IF(ISERROR(VLOOKUP($S$91,'TAR FIN'!$A$1:$O$88,15,0)),0,VLOOKUP($S$91,'TAR FIN'!$A$1:$O$88,15,0))*(1-0.06)</f>
        <v>30.286799999999996</v>
      </c>
      <c r="W91" s="52">
        <f>IF(ISERROR(VLOOKUP($T$91,'TAR FIN'!$A$1:$O$88,15,0)),0,VLOOKUP($T$91,'TAR FIN'!$A$1:$O$88,15,0))</f>
        <v>0</v>
      </c>
      <c r="X91" s="52">
        <f>IF(ISERROR(VLOOKUP($U$91,'TAR FIN'!$A$1:$O$88,15,0)),0,VLOOKUP($U$91,'TAR FIN'!$A$1:$O$88,15,0))</f>
        <v>0</v>
      </c>
      <c r="Y91" s="52">
        <f ca="1">('TUSD BE'!$AM$10+'TUSD BF'!$AM$10+'TUSD CVA'!$AM$10)*1*(1-0.03)</f>
        <v>33.372692675387505</v>
      </c>
      <c r="Z91" s="52"/>
      <c r="AA91" s="52"/>
      <c r="AB91" s="4">
        <f>$K$91*$V$91</f>
        <v>1665.7739999999999</v>
      </c>
      <c r="AC91" s="4">
        <f>$M$91*$W$91</f>
        <v>0</v>
      </c>
      <c r="AD91" s="4">
        <f>$O$91*$X$91</f>
        <v>0</v>
      </c>
      <c r="AE91" s="4">
        <f ca="1">$K$91*$Y$91</f>
        <v>1835.4980971463128</v>
      </c>
      <c r="AF91" s="4">
        <f>$M$91*$Z$91</f>
        <v>0</v>
      </c>
      <c r="AG91" s="4">
        <f>$O$91*$AA$91</f>
        <v>0</v>
      </c>
    </row>
    <row r="92" spans="1:33" ht="11.25" customHeight="1" x14ac:dyDescent="0.25">
      <c r="A92" s="3" t="s">
        <v>21</v>
      </c>
      <c r="B92" s="3" t="s">
        <v>35</v>
      </c>
      <c r="C92" s="3" t="s">
        <v>36</v>
      </c>
      <c r="D92" s="3" t="s">
        <v>47</v>
      </c>
      <c r="E92" s="3" t="s">
        <v>48</v>
      </c>
      <c r="F92" s="3" t="s">
        <v>25</v>
      </c>
      <c r="G92" s="3" t="s">
        <v>25</v>
      </c>
      <c r="H92" s="3" t="s">
        <v>25</v>
      </c>
      <c r="I92" s="6">
        <v>44621</v>
      </c>
      <c r="J92" s="4">
        <v>55</v>
      </c>
      <c r="K92" s="53">
        <v>55</v>
      </c>
      <c r="L92" s="4">
        <v>0</v>
      </c>
      <c r="M92" s="52">
        <v>0</v>
      </c>
      <c r="N92" s="4">
        <v>0</v>
      </c>
      <c r="O92" s="52">
        <v>0</v>
      </c>
      <c r="P92" s="4">
        <v>1</v>
      </c>
      <c r="Q92" s="3" t="s">
        <v>26</v>
      </c>
      <c r="R92" s="3">
        <v>0</v>
      </c>
      <c r="S92" s="4">
        <v>7</v>
      </c>
      <c r="T92" s="4">
        <v>0</v>
      </c>
      <c r="U92" s="4">
        <v>0</v>
      </c>
      <c r="V92" s="52">
        <f>IF(ISERROR(VLOOKUP($S$92,'TAR FIN'!$A$1:$O$88,15,0)),0,VLOOKUP($S$92,'TAR FIN'!$A$1:$O$88,15,0))*(1-0.06)</f>
        <v>30.286799999999996</v>
      </c>
      <c r="W92" s="52">
        <f>IF(ISERROR(VLOOKUP($T$92,'TAR FIN'!$A$1:$O$88,15,0)),0,VLOOKUP($T$92,'TAR FIN'!$A$1:$O$88,15,0))</f>
        <v>0</v>
      </c>
      <c r="X92" s="52">
        <f>IF(ISERROR(VLOOKUP($U$92,'TAR FIN'!$A$1:$O$88,15,0)),0,VLOOKUP($U$92,'TAR FIN'!$A$1:$O$88,15,0))</f>
        <v>0</v>
      </c>
      <c r="Y92" s="52">
        <f ca="1">('TUSD BE'!$AM$10+'TUSD BF'!$AM$10+'TUSD CVA'!$AM$10)*1*(1-0.03)</f>
        <v>33.372692675387505</v>
      </c>
      <c r="Z92" s="52"/>
      <c r="AA92" s="52"/>
      <c r="AB92" s="4">
        <f>$K$92*$V$92</f>
        <v>1665.7739999999999</v>
      </c>
      <c r="AC92" s="4">
        <f>$M$92*$W$92</f>
        <v>0</v>
      </c>
      <c r="AD92" s="4">
        <f>$O$92*$X$92</f>
        <v>0</v>
      </c>
      <c r="AE92" s="4">
        <f ca="1">$K$92*$Y$92</f>
        <v>1835.4980971463128</v>
      </c>
      <c r="AF92" s="4">
        <f>$M$92*$Z$92</f>
        <v>0</v>
      </c>
      <c r="AG92" s="4">
        <f>$O$92*$AA$92</f>
        <v>0</v>
      </c>
    </row>
    <row r="93" spans="1:33" ht="11.25" customHeight="1" x14ac:dyDescent="0.25">
      <c r="A93" s="3" t="s">
        <v>21</v>
      </c>
      <c r="B93" s="3" t="s">
        <v>35</v>
      </c>
      <c r="C93" s="3" t="s">
        <v>36</v>
      </c>
      <c r="D93" s="3" t="s">
        <v>47</v>
      </c>
      <c r="E93" s="3" t="s">
        <v>48</v>
      </c>
      <c r="F93" s="3" t="s">
        <v>25</v>
      </c>
      <c r="G93" s="3" t="s">
        <v>25</v>
      </c>
      <c r="H93" s="3" t="s">
        <v>25</v>
      </c>
      <c r="I93" s="6">
        <v>44652</v>
      </c>
      <c r="J93" s="4">
        <v>55</v>
      </c>
      <c r="K93" s="53">
        <v>55</v>
      </c>
      <c r="L93" s="4">
        <v>0</v>
      </c>
      <c r="M93" s="52">
        <v>0</v>
      </c>
      <c r="N93" s="4">
        <v>0</v>
      </c>
      <c r="O93" s="52">
        <v>0</v>
      </c>
      <c r="P93" s="4">
        <v>1</v>
      </c>
      <c r="Q93" s="3" t="s">
        <v>26</v>
      </c>
      <c r="R93" s="3">
        <v>0</v>
      </c>
      <c r="S93" s="4">
        <v>7</v>
      </c>
      <c r="T93" s="4">
        <v>0</v>
      </c>
      <c r="U93" s="4">
        <v>0</v>
      </c>
      <c r="V93" s="52">
        <f>IF(ISERROR(VLOOKUP($S$93,'TAR FIN'!$A$1:$O$88,15,0)),0,VLOOKUP($S$93,'TAR FIN'!$A$1:$O$88,15,0))*(1-0.06)</f>
        <v>30.286799999999996</v>
      </c>
      <c r="W93" s="52">
        <f>IF(ISERROR(VLOOKUP($T$93,'TAR FIN'!$A$1:$O$88,15,0)),0,VLOOKUP($T$93,'TAR FIN'!$A$1:$O$88,15,0))</f>
        <v>0</v>
      </c>
      <c r="X93" s="52">
        <f>IF(ISERROR(VLOOKUP($U$93,'TAR FIN'!$A$1:$O$88,15,0)),0,VLOOKUP($U$93,'TAR FIN'!$A$1:$O$88,15,0))</f>
        <v>0</v>
      </c>
      <c r="Y93" s="52">
        <f ca="1">('TUSD BE'!$AM$10+'TUSD BF'!$AM$10+'TUSD CVA'!$AM$10)*1*(1-0.03)</f>
        <v>33.372692675387505</v>
      </c>
      <c r="Z93" s="52"/>
      <c r="AA93" s="52"/>
      <c r="AB93" s="4">
        <f>$K$93*$V$93</f>
        <v>1665.7739999999999</v>
      </c>
      <c r="AC93" s="4">
        <f>$M$93*$W$93</f>
        <v>0</v>
      </c>
      <c r="AD93" s="4">
        <f>$O$93*$X$93</f>
        <v>0</v>
      </c>
      <c r="AE93" s="4">
        <f ca="1">$K$93*$Y$93</f>
        <v>1835.4980971463128</v>
      </c>
      <c r="AF93" s="4">
        <f>$M$93*$Z$93</f>
        <v>0</v>
      </c>
      <c r="AG93" s="4">
        <f>$O$93*$AA$93</f>
        <v>0</v>
      </c>
    </row>
    <row r="94" spans="1:33" ht="11.25" customHeight="1" x14ac:dyDescent="0.25">
      <c r="A94" s="3" t="s">
        <v>21</v>
      </c>
      <c r="B94" s="3" t="s">
        <v>35</v>
      </c>
      <c r="C94" s="3" t="s">
        <v>36</v>
      </c>
      <c r="D94" s="3" t="s">
        <v>47</v>
      </c>
      <c r="E94" s="3" t="s">
        <v>48</v>
      </c>
      <c r="F94" s="3" t="s">
        <v>25</v>
      </c>
      <c r="G94" s="3" t="s">
        <v>25</v>
      </c>
      <c r="H94" s="3" t="s">
        <v>25</v>
      </c>
      <c r="I94" s="6">
        <v>44682</v>
      </c>
      <c r="J94" s="4">
        <v>55</v>
      </c>
      <c r="K94" s="53">
        <v>55</v>
      </c>
      <c r="L94" s="4">
        <v>0</v>
      </c>
      <c r="M94" s="52">
        <v>0</v>
      </c>
      <c r="N94" s="4">
        <v>0</v>
      </c>
      <c r="O94" s="52">
        <v>0</v>
      </c>
      <c r="P94" s="4">
        <v>1</v>
      </c>
      <c r="Q94" s="3" t="s">
        <v>26</v>
      </c>
      <c r="R94" s="3">
        <v>0</v>
      </c>
      <c r="S94" s="4">
        <v>7</v>
      </c>
      <c r="T94" s="4">
        <v>0</v>
      </c>
      <c r="U94" s="4">
        <v>0</v>
      </c>
      <c r="V94" s="52">
        <f>IF(ISERROR(VLOOKUP($S$94,'TAR FIN'!$A$1:$O$88,15,0)),0,VLOOKUP($S$94,'TAR FIN'!$A$1:$O$88,15,0))*(1-0.06)</f>
        <v>30.286799999999996</v>
      </c>
      <c r="W94" s="52">
        <f>IF(ISERROR(VLOOKUP($T$94,'TAR FIN'!$A$1:$O$88,15,0)),0,VLOOKUP($T$94,'TAR FIN'!$A$1:$O$88,15,0))</f>
        <v>0</v>
      </c>
      <c r="X94" s="52">
        <f>IF(ISERROR(VLOOKUP($U$94,'TAR FIN'!$A$1:$O$88,15,0)),0,VLOOKUP($U$94,'TAR FIN'!$A$1:$O$88,15,0))</f>
        <v>0</v>
      </c>
      <c r="Y94" s="52">
        <f ca="1">('TUSD BE'!$AM$10+'TUSD BF'!$AM$10+'TUSD CVA'!$AM$10)*1*(1-0.03)</f>
        <v>33.372692675387505</v>
      </c>
      <c r="Z94" s="52"/>
      <c r="AA94" s="52"/>
      <c r="AB94" s="4">
        <f>$K$94*$V$94</f>
        <v>1665.7739999999999</v>
      </c>
      <c r="AC94" s="4">
        <f>$M$94*$W$94</f>
        <v>0</v>
      </c>
      <c r="AD94" s="4">
        <f>$O$94*$X$94</f>
        <v>0</v>
      </c>
      <c r="AE94" s="4">
        <f ca="1">$K$94*$Y$94</f>
        <v>1835.4980971463128</v>
      </c>
      <c r="AF94" s="4">
        <f>$M$94*$Z$94</f>
        <v>0</v>
      </c>
      <c r="AG94" s="4">
        <f>$O$94*$AA$94</f>
        <v>0</v>
      </c>
    </row>
    <row r="95" spans="1:33" ht="11.25" customHeight="1" x14ac:dyDescent="0.25">
      <c r="A95" s="3" t="s">
        <v>21</v>
      </c>
      <c r="B95" s="3" t="s">
        <v>35</v>
      </c>
      <c r="C95" s="3" t="s">
        <v>36</v>
      </c>
      <c r="D95" s="3" t="s">
        <v>47</v>
      </c>
      <c r="E95" s="3" t="s">
        <v>48</v>
      </c>
      <c r="F95" s="3" t="s">
        <v>25</v>
      </c>
      <c r="G95" s="3" t="s">
        <v>25</v>
      </c>
      <c r="H95" s="3" t="s">
        <v>25</v>
      </c>
      <c r="I95" s="6">
        <v>44713</v>
      </c>
      <c r="J95" s="4">
        <v>55</v>
      </c>
      <c r="K95" s="53">
        <v>55</v>
      </c>
      <c r="L95" s="4">
        <v>0</v>
      </c>
      <c r="M95" s="52">
        <v>0</v>
      </c>
      <c r="N95" s="4">
        <v>0</v>
      </c>
      <c r="O95" s="52">
        <v>0</v>
      </c>
      <c r="P95" s="4">
        <v>1</v>
      </c>
      <c r="Q95" s="3" t="s">
        <v>26</v>
      </c>
      <c r="R95" s="3">
        <v>0</v>
      </c>
      <c r="S95" s="4">
        <v>7</v>
      </c>
      <c r="T95" s="4">
        <v>0</v>
      </c>
      <c r="U95" s="4">
        <v>0</v>
      </c>
      <c r="V95" s="52">
        <f>IF(ISERROR(VLOOKUP($S$95,'TAR FIN'!$A$1:$O$88,15,0)),0,VLOOKUP($S$95,'TAR FIN'!$A$1:$O$88,15,0))*(1-0.06)</f>
        <v>30.286799999999996</v>
      </c>
      <c r="W95" s="52">
        <f>IF(ISERROR(VLOOKUP($T$95,'TAR FIN'!$A$1:$O$88,15,0)),0,VLOOKUP($T$95,'TAR FIN'!$A$1:$O$88,15,0))</f>
        <v>0</v>
      </c>
      <c r="X95" s="52">
        <f>IF(ISERROR(VLOOKUP($U$95,'TAR FIN'!$A$1:$O$88,15,0)),0,VLOOKUP($U$95,'TAR FIN'!$A$1:$O$88,15,0))</f>
        <v>0</v>
      </c>
      <c r="Y95" s="52">
        <f ca="1">('TUSD BE'!$AM$10+'TUSD BF'!$AM$10+'TUSD CVA'!$AM$10)*1*(1-0.03)</f>
        <v>33.372692675387505</v>
      </c>
      <c r="Z95" s="52"/>
      <c r="AA95" s="52"/>
      <c r="AB95" s="4">
        <f>$K$95*$V$95</f>
        <v>1665.7739999999999</v>
      </c>
      <c r="AC95" s="4">
        <f>$M$95*$W$95</f>
        <v>0</v>
      </c>
      <c r="AD95" s="4">
        <f>$O$95*$X$95</f>
        <v>0</v>
      </c>
      <c r="AE95" s="4">
        <f ca="1">$K$95*$Y$95</f>
        <v>1835.4980971463128</v>
      </c>
      <c r="AF95" s="4">
        <f>$M$95*$Z$95</f>
        <v>0</v>
      </c>
      <c r="AG95" s="4">
        <f>$O$95*$AA$95</f>
        <v>0</v>
      </c>
    </row>
    <row r="96" spans="1:33" ht="11.25" customHeight="1" x14ac:dyDescent="0.25">
      <c r="A96" s="3" t="s">
        <v>21</v>
      </c>
      <c r="B96" s="3" t="s">
        <v>35</v>
      </c>
      <c r="C96" s="3" t="s">
        <v>36</v>
      </c>
      <c r="D96" s="3" t="s">
        <v>47</v>
      </c>
      <c r="E96" s="3" t="s">
        <v>48</v>
      </c>
      <c r="F96" s="3" t="s">
        <v>25</v>
      </c>
      <c r="G96" s="3" t="s">
        <v>25</v>
      </c>
      <c r="H96" s="3" t="s">
        <v>25</v>
      </c>
      <c r="I96" s="6">
        <v>44743</v>
      </c>
      <c r="J96" s="4">
        <v>55</v>
      </c>
      <c r="K96" s="53">
        <v>55</v>
      </c>
      <c r="L96" s="4">
        <v>0</v>
      </c>
      <c r="M96" s="52">
        <v>0</v>
      </c>
      <c r="N96" s="4">
        <v>0</v>
      </c>
      <c r="O96" s="52">
        <v>0</v>
      </c>
      <c r="P96" s="4">
        <v>1</v>
      </c>
      <c r="Q96" s="3" t="s">
        <v>26</v>
      </c>
      <c r="R96" s="3">
        <v>0</v>
      </c>
      <c r="S96" s="4">
        <v>7</v>
      </c>
      <c r="T96" s="4">
        <v>0</v>
      </c>
      <c r="U96" s="4">
        <v>0</v>
      </c>
      <c r="V96" s="52">
        <f>IF(ISERROR(VLOOKUP($S$96,'TAR FIN'!$A$1:$O$88,15,0)),0,VLOOKUP($S$96,'TAR FIN'!$A$1:$O$88,15,0))*(1-0.06)</f>
        <v>30.286799999999996</v>
      </c>
      <c r="W96" s="52">
        <f>IF(ISERROR(VLOOKUP($T$96,'TAR FIN'!$A$1:$O$88,15,0)),0,VLOOKUP($T$96,'TAR FIN'!$A$1:$O$88,15,0))</f>
        <v>0</v>
      </c>
      <c r="X96" s="52">
        <f>IF(ISERROR(VLOOKUP($U$96,'TAR FIN'!$A$1:$O$88,15,0)),0,VLOOKUP($U$96,'TAR FIN'!$A$1:$O$88,15,0))</f>
        <v>0</v>
      </c>
      <c r="Y96" s="52">
        <f ca="1">('TUSD BE'!$AM$10+'TUSD BF'!$AM$10+'TUSD CVA'!$AM$10)*1*(1-0.03)</f>
        <v>33.372692675387505</v>
      </c>
      <c r="Z96" s="52"/>
      <c r="AA96" s="52"/>
      <c r="AB96" s="4">
        <f>$K$96*$V$96</f>
        <v>1665.7739999999999</v>
      </c>
      <c r="AC96" s="4">
        <f>$M$96*$W$96</f>
        <v>0</v>
      </c>
      <c r="AD96" s="4">
        <f>$O$96*$X$96</f>
        <v>0</v>
      </c>
      <c r="AE96" s="4">
        <f ca="1">$K$96*$Y$96</f>
        <v>1835.4980971463128</v>
      </c>
      <c r="AF96" s="4">
        <f>$M$96*$Z$96</f>
        <v>0</v>
      </c>
      <c r="AG96" s="4">
        <f>$O$96*$AA$96</f>
        <v>0</v>
      </c>
    </row>
    <row r="97" spans="1:33" ht="11.25" customHeight="1" x14ac:dyDescent="0.25">
      <c r="A97" s="3" t="s">
        <v>21</v>
      </c>
      <c r="B97" s="3" t="s">
        <v>35</v>
      </c>
      <c r="C97" s="3" t="s">
        <v>36</v>
      </c>
      <c r="D97" s="3" t="s">
        <v>47</v>
      </c>
      <c r="E97" s="3" t="s">
        <v>48</v>
      </c>
      <c r="F97" s="3" t="s">
        <v>25</v>
      </c>
      <c r="G97" s="3" t="s">
        <v>25</v>
      </c>
      <c r="H97" s="3" t="s">
        <v>25</v>
      </c>
      <c r="I97" s="6">
        <v>44774</v>
      </c>
      <c r="J97" s="4">
        <v>55</v>
      </c>
      <c r="K97" s="53">
        <v>55</v>
      </c>
      <c r="L97" s="4">
        <v>0</v>
      </c>
      <c r="M97" s="52">
        <v>0</v>
      </c>
      <c r="N97" s="4">
        <v>0</v>
      </c>
      <c r="O97" s="52">
        <v>0</v>
      </c>
      <c r="P97" s="4">
        <v>1</v>
      </c>
      <c r="Q97" s="3" t="s">
        <v>26</v>
      </c>
      <c r="R97" s="3">
        <v>0</v>
      </c>
      <c r="S97" s="4">
        <v>7</v>
      </c>
      <c r="T97" s="4">
        <v>0</v>
      </c>
      <c r="U97" s="4">
        <v>0</v>
      </c>
      <c r="V97" s="52">
        <f>IF(ISERROR(VLOOKUP($S$97,'TAR FIN'!$A$1:$O$88,15,0)),0,VLOOKUP($S$97,'TAR FIN'!$A$1:$O$88,15,0))*(1-0.06)</f>
        <v>30.286799999999996</v>
      </c>
      <c r="W97" s="52">
        <f>IF(ISERROR(VLOOKUP($T$97,'TAR FIN'!$A$1:$O$88,15,0)),0,VLOOKUP($T$97,'TAR FIN'!$A$1:$O$88,15,0))</f>
        <v>0</v>
      </c>
      <c r="X97" s="52">
        <f>IF(ISERROR(VLOOKUP($U$97,'TAR FIN'!$A$1:$O$88,15,0)),0,VLOOKUP($U$97,'TAR FIN'!$A$1:$O$88,15,0))</f>
        <v>0</v>
      </c>
      <c r="Y97" s="52">
        <f ca="1">('TUSD BE'!$AM$10+'TUSD BF'!$AM$10+'TUSD CVA'!$AM$10)*1*(1-0.03)</f>
        <v>33.372692675387505</v>
      </c>
      <c r="Z97" s="52"/>
      <c r="AA97" s="52"/>
      <c r="AB97" s="4">
        <f>$K$97*$V$97</f>
        <v>1665.7739999999999</v>
      </c>
      <c r="AC97" s="4">
        <f>$M$97*$W$97</f>
        <v>0</v>
      </c>
      <c r="AD97" s="4">
        <f>$O$97*$X$97</f>
        <v>0</v>
      </c>
      <c r="AE97" s="4">
        <f ca="1">$K$97*$Y$97</f>
        <v>1835.4980971463128</v>
      </c>
      <c r="AF97" s="4">
        <f>$M$97*$Z$97</f>
        <v>0</v>
      </c>
      <c r="AG97" s="4">
        <f>$O$97*$AA$97</f>
        <v>0</v>
      </c>
    </row>
    <row r="98" spans="1:33" ht="11.25" customHeight="1" x14ac:dyDescent="0.25">
      <c r="A98" s="3" t="s">
        <v>21</v>
      </c>
      <c r="B98" s="3" t="s">
        <v>35</v>
      </c>
      <c r="C98" s="3" t="s">
        <v>36</v>
      </c>
      <c r="D98" s="3" t="s">
        <v>47</v>
      </c>
      <c r="E98" s="3" t="s">
        <v>48</v>
      </c>
      <c r="F98" s="3" t="s">
        <v>25</v>
      </c>
      <c r="G98" s="3" t="s">
        <v>25</v>
      </c>
      <c r="H98" s="3" t="s">
        <v>37</v>
      </c>
      <c r="I98" s="6">
        <v>44440</v>
      </c>
      <c r="J98" s="4">
        <v>0</v>
      </c>
      <c r="K98" s="52">
        <v>0</v>
      </c>
      <c r="L98" s="4">
        <v>0.94299999999999995</v>
      </c>
      <c r="M98" s="52">
        <v>0.94299999999999995</v>
      </c>
      <c r="N98" s="4">
        <v>0.94299999999999995</v>
      </c>
      <c r="O98" s="52">
        <v>0.94299999999999995</v>
      </c>
      <c r="P98" s="4">
        <v>0</v>
      </c>
      <c r="Q98" s="3" t="s">
        <v>26</v>
      </c>
      <c r="R98" s="3">
        <v>0</v>
      </c>
      <c r="S98" s="4">
        <v>0</v>
      </c>
      <c r="T98" s="4">
        <v>13</v>
      </c>
      <c r="U98" s="4">
        <v>42</v>
      </c>
      <c r="V98" s="52">
        <f>IF(ISERROR(VLOOKUP($S$98,'TAR FIN'!$A$1:$O$88,15,0)),0,VLOOKUP($S$98,'TAR FIN'!$A$1:$O$88,15,0))</f>
        <v>0</v>
      </c>
      <c r="W98" s="52">
        <f>IF(ISERROR(VLOOKUP($T$98,'TAR FIN'!$A$1:$O$88,15,0)),0,VLOOKUP($T$98,'TAR FIN'!$A$1:$O$88,15,0))*(1-0.06)</f>
        <v>2340.6469999999999</v>
      </c>
      <c r="X98" s="52">
        <f>IF(ISERROR(VLOOKUP($U$98,'TAR FIN'!$A$1:$O$88,15,0)),0,VLOOKUP($U$98,'TAR FIN'!$A$1:$O$88,15,0))*(1-0.06)</f>
        <v>155.29740000000001</v>
      </c>
      <c r="Y98" s="52"/>
      <c r="Z98" s="52">
        <f ca="1">('TUSD BE'!$AM$11+'TUSD BF'!$AM$11+'TUSD CVA'!$AM$11)*1*(1-0.03)</f>
        <v>2576.2752108420923</v>
      </c>
      <c r="AA98" s="52">
        <f>('TE BE'!$AB$5+'TE BF'!$AB$5+'TE CVA'!$AB$5)*1*(1-0.03)</f>
        <v>149.33869153269211</v>
      </c>
      <c r="AB98" s="4">
        <f>$K$98*$V$98</f>
        <v>0</v>
      </c>
      <c r="AC98" s="4">
        <f>$M$98*$W$98</f>
        <v>2207.2301209999996</v>
      </c>
      <c r="AD98" s="4">
        <f>$O$98*$X$98</f>
        <v>146.44544820000002</v>
      </c>
      <c r="AE98" s="4">
        <f>$K$98*$Y$98</f>
        <v>0</v>
      </c>
      <c r="AF98" s="4">
        <f ca="1">$M$98*$Z$98</f>
        <v>2429.427523824093</v>
      </c>
      <c r="AG98" s="4">
        <f>$O$98*$AA$98</f>
        <v>140.82638611532866</v>
      </c>
    </row>
    <row r="99" spans="1:33" ht="11.25" customHeight="1" x14ac:dyDescent="0.25">
      <c r="A99" s="3" t="s">
        <v>21</v>
      </c>
      <c r="B99" s="3" t="s">
        <v>35</v>
      </c>
      <c r="C99" s="3" t="s">
        <v>36</v>
      </c>
      <c r="D99" s="3" t="s">
        <v>47</v>
      </c>
      <c r="E99" s="3" t="s">
        <v>48</v>
      </c>
      <c r="F99" s="3" t="s">
        <v>25</v>
      </c>
      <c r="G99" s="3" t="s">
        <v>25</v>
      </c>
      <c r="H99" s="3" t="s">
        <v>37</v>
      </c>
      <c r="I99" s="6">
        <v>44470</v>
      </c>
      <c r="J99" s="4">
        <v>0</v>
      </c>
      <c r="K99" s="52">
        <v>0</v>
      </c>
      <c r="L99" s="4">
        <v>1.0660000000000001</v>
      </c>
      <c r="M99" s="52">
        <v>1.0660000000000001</v>
      </c>
      <c r="N99" s="4">
        <v>1.0660000000000001</v>
      </c>
      <c r="O99" s="52">
        <v>1.0660000000000001</v>
      </c>
      <c r="P99" s="4">
        <v>0</v>
      </c>
      <c r="Q99" s="3" t="s">
        <v>26</v>
      </c>
      <c r="R99" s="3">
        <v>0</v>
      </c>
      <c r="S99" s="4">
        <v>0</v>
      </c>
      <c r="T99" s="4">
        <v>13</v>
      </c>
      <c r="U99" s="4">
        <v>42</v>
      </c>
      <c r="V99" s="52">
        <f>IF(ISERROR(VLOOKUP($S$99,'TAR FIN'!$A$1:$O$88,15,0)),0,VLOOKUP($S$99,'TAR FIN'!$A$1:$O$88,15,0))</f>
        <v>0</v>
      </c>
      <c r="W99" s="52">
        <f>IF(ISERROR(VLOOKUP($T$99,'TAR FIN'!$A$1:$O$88,15,0)),0,VLOOKUP($T$99,'TAR FIN'!$A$1:$O$88,15,0))*(1-0.06)</f>
        <v>2340.6469999999999</v>
      </c>
      <c r="X99" s="52">
        <f>IF(ISERROR(VLOOKUP($U$99,'TAR FIN'!$A$1:$O$88,15,0)),0,VLOOKUP($U$99,'TAR FIN'!$A$1:$O$88,15,0))*(1-0.06)</f>
        <v>155.29740000000001</v>
      </c>
      <c r="Y99" s="52"/>
      <c r="Z99" s="52">
        <f ca="1">('TUSD BE'!$AM$11+'TUSD BF'!$AM$11+'TUSD CVA'!$AM$11)*1*(1-0.03)</f>
        <v>2576.2752108420923</v>
      </c>
      <c r="AA99" s="52">
        <f>('TE BE'!$AB$5+'TE BF'!$AB$5+'TE CVA'!$AB$5)*1*(1-0.03)</f>
        <v>149.33869153269211</v>
      </c>
      <c r="AB99" s="4">
        <f>$K$99*$V$99</f>
        <v>0</v>
      </c>
      <c r="AC99" s="4">
        <f>$M$99*$W$99</f>
        <v>2495.1297020000002</v>
      </c>
      <c r="AD99" s="4">
        <f>$O$99*$X$99</f>
        <v>165.54702840000002</v>
      </c>
      <c r="AE99" s="4">
        <f>$K$99*$Y$99</f>
        <v>0</v>
      </c>
      <c r="AF99" s="4">
        <f ca="1">$M$99*$Z$99</f>
        <v>2746.3093747576704</v>
      </c>
      <c r="AG99" s="4">
        <f>$O$99*$AA$99</f>
        <v>159.19504517384979</v>
      </c>
    </row>
    <row r="100" spans="1:33" ht="11.25" customHeight="1" x14ac:dyDescent="0.25">
      <c r="A100" s="3" t="s">
        <v>21</v>
      </c>
      <c r="B100" s="3" t="s">
        <v>35</v>
      </c>
      <c r="C100" s="3" t="s">
        <v>36</v>
      </c>
      <c r="D100" s="3" t="s">
        <v>47</v>
      </c>
      <c r="E100" s="3" t="s">
        <v>48</v>
      </c>
      <c r="F100" s="3" t="s">
        <v>25</v>
      </c>
      <c r="G100" s="3" t="s">
        <v>25</v>
      </c>
      <c r="H100" s="3" t="s">
        <v>37</v>
      </c>
      <c r="I100" s="6">
        <v>44501</v>
      </c>
      <c r="J100" s="4">
        <v>0</v>
      </c>
      <c r="K100" s="52">
        <v>0</v>
      </c>
      <c r="L100" s="4">
        <v>1.1479999999999999</v>
      </c>
      <c r="M100" s="52">
        <v>1.1479999999999999</v>
      </c>
      <c r="N100" s="4">
        <v>1.1479999999999999</v>
      </c>
      <c r="O100" s="52">
        <v>1.1479999999999999</v>
      </c>
      <c r="P100" s="4">
        <v>0</v>
      </c>
      <c r="Q100" s="3" t="s">
        <v>26</v>
      </c>
      <c r="R100" s="3">
        <v>0</v>
      </c>
      <c r="S100" s="4">
        <v>0</v>
      </c>
      <c r="T100" s="4">
        <v>13</v>
      </c>
      <c r="U100" s="4">
        <v>42</v>
      </c>
      <c r="V100" s="52">
        <f>IF(ISERROR(VLOOKUP($S$100,'TAR FIN'!$A$1:$O$88,15,0)),0,VLOOKUP($S$100,'TAR FIN'!$A$1:$O$88,15,0))</f>
        <v>0</v>
      </c>
      <c r="W100" s="52">
        <f>IF(ISERROR(VLOOKUP($T$100,'TAR FIN'!$A$1:$O$88,15,0)),0,VLOOKUP($T$100,'TAR FIN'!$A$1:$O$88,15,0))*(1-0.06)</f>
        <v>2340.6469999999999</v>
      </c>
      <c r="X100" s="52">
        <f>IF(ISERROR(VLOOKUP($U$100,'TAR FIN'!$A$1:$O$88,15,0)),0,VLOOKUP($U$100,'TAR FIN'!$A$1:$O$88,15,0))*(1-0.06)</f>
        <v>155.29740000000001</v>
      </c>
      <c r="Y100" s="52"/>
      <c r="Z100" s="52">
        <f ca="1">('TUSD BE'!$AM$11+'TUSD BF'!$AM$11+'TUSD CVA'!$AM$11)*1*(1-0.03)</f>
        <v>2576.2752108420923</v>
      </c>
      <c r="AA100" s="52">
        <f>('TE BE'!$AB$5+'TE BF'!$AB$5+'TE CVA'!$AB$5)*1*(1-0.03)</f>
        <v>149.33869153269211</v>
      </c>
      <c r="AB100" s="4">
        <f>$K$100*$V$100</f>
        <v>0</v>
      </c>
      <c r="AC100" s="4">
        <f>$M$100*$W$100</f>
        <v>2687.0627559999998</v>
      </c>
      <c r="AD100" s="4">
        <f>$O$100*$X$100</f>
        <v>178.2814152</v>
      </c>
      <c r="AE100" s="4">
        <f>$K$100*$Y$100</f>
        <v>0</v>
      </c>
      <c r="AF100" s="4">
        <f ca="1">$M$100*$Z$100</f>
        <v>2957.5639420467219</v>
      </c>
      <c r="AG100" s="4">
        <f>$O$100*$AA$100</f>
        <v>171.44081787953053</v>
      </c>
    </row>
    <row r="101" spans="1:33" ht="11.25" customHeight="1" x14ac:dyDescent="0.25">
      <c r="A101" s="3" t="s">
        <v>21</v>
      </c>
      <c r="B101" s="3" t="s">
        <v>35</v>
      </c>
      <c r="C101" s="3" t="s">
        <v>36</v>
      </c>
      <c r="D101" s="3" t="s">
        <v>47</v>
      </c>
      <c r="E101" s="3" t="s">
        <v>48</v>
      </c>
      <c r="F101" s="3" t="s">
        <v>25</v>
      </c>
      <c r="G101" s="3" t="s">
        <v>25</v>
      </c>
      <c r="H101" s="3" t="s">
        <v>37</v>
      </c>
      <c r="I101" s="6">
        <v>44531</v>
      </c>
      <c r="J101" s="4">
        <v>0</v>
      </c>
      <c r="K101" s="52">
        <v>0</v>
      </c>
      <c r="L101" s="4">
        <v>1.107</v>
      </c>
      <c r="M101" s="52">
        <v>1.107</v>
      </c>
      <c r="N101" s="4">
        <v>1.107</v>
      </c>
      <c r="O101" s="52">
        <v>1.107</v>
      </c>
      <c r="P101" s="4">
        <v>0</v>
      </c>
      <c r="Q101" s="3" t="s">
        <v>26</v>
      </c>
      <c r="R101" s="3">
        <v>0</v>
      </c>
      <c r="S101" s="4">
        <v>0</v>
      </c>
      <c r="T101" s="4">
        <v>13</v>
      </c>
      <c r="U101" s="4">
        <v>42</v>
      </c>
      <c r="V101" s="52">
        <f>IF(ISERROR(VLOOKUP($S$101,'TAR FIN'!$A$1:$O$88,15,0)),0,VLOOKUP($S$101,'TAR FIN'!$A$1:$O$88,15,0))</f>
        <v>0</v>
      </c>
      <c r="W101" s="52">
        <f>IF(ISERROR(VLOOKUP($T$101,'TAR FIN'!$A$1:$O$88,15,0)),0,VLOOKUP($T$101,'TAR FIN'!$A$1:$O$88,15,0))*(1-0.06)</f>
        <v>2340.6469999999999</v>
      </c>
      <c r="X101" s="52">
        <f>IF(ISERROR(VLOOKUP($U$101,'TAR FIN'!$A$1:$O$88,15,0)),0,VLOOKUP($U$101,'TAR FIN'!$A$1:$O$88,15,0))*(1-0.06)</f>
        <v>155.29740000000001</v>
      </c>
      <c r="Y101" s="52"/>
      <c r="Z101" s="52">
        <f ca="1">('TUSD BE'!$AM$11+'TUSD BF'!$AM$11+'TUSD CVA'!$AM$11)*1*(1-0.03)</f>
        <v>2576.2752108420923</v>
      </c>
      <c r="AA101" s="52">
        <f>('TE BE'!$AB$5+'TE BF'!$AB$5+'TE CVA'!$AB$5)*1*(1-0.03)</f>
        <v>149.33869153269211</v>
      </c>
      <c r="AB101" s="4">
        <f>$K$101*$V$101</f>
        <v>0</v>
      </c>
      <c r="AC101" s="4">
        <f>$M$101*$W$101</f>
        <v>2591.0962289999998</v>
      </c>
      <c r="AD101" s="4">
        <f>$O$101*$X$101</f>
        <v>171.91422180000001</v>
      </c>
      <c r="AE101" s="4">
        <f>$K$101*$Y$101</f>
        <v>0</v>
      </c>
      <c r="AF101" s="4">
        <f ca="1">$M$101*$Z$101</f>
        <v>2851.9366584021959</v>
      </c>
      <c r="AG101" s="4">
        <f>$O$101*$AA$101</f>
        <v>165.31793152669016</v>
      </c>
    </row>
    <row r="102" spans="1:33" ht="11.25" customHeight="1" x14ac:dyDescent="0.25">
      <c r="A102" s="3" t="s">
        <v>21</v>
      </c>
      <c r="B102" s="3" t="s">
        <v>35</v>
      </c>
      <c r="C102" s="3" t="s">
        <v>36</v>
      </c>
      <c r="D102" s="3" t="s">
        <v>47</v>
      </c>
      <c r="E102" s="3" t="s">
        <v>48</v>
      </c>
      <c r="F102" s="3" t="s">
        <v>25</v>
      </c>
      <c r="G102" s="3" t="s">
        <v>25</v>
      </c>
      <c r="H102" s="3" t="s">
        <v>37</v>
      </c>
      <c r="I102" s="6">
        <v>44562</v>
      </c>
      <c r="J102" s="4">
        <v>0</v>
      </c>
      <c r="K102" s="52">
        <v>0</v>
      </c>
      <c r="L102" s="4">
        <v>1.107</v>
      </c>
      <c r="M102" s="52">
        <v>1.107</v>
      </c>
      <c r="N102" s="4">
        <v>1.107</v>
      </c>
      <c r="O102" s="52">
        <v>1.107</v>
      </c>
      <c r="P102" s="4">
        <v>0</v>
      </c>
      <c r="Q102" s="3" t="s">
        <v>26</v>
      </c>
      <c r="R102" s="3">
        <v>0</v>
      </c>
      <c r="S102" s="4">
        <v>0</v>
      </c>
      <c r="T102" s="4">
        <v>13</v>
      </c>
      <c r="U102" s="4">
        <v>42</v>
      </c>
      <c r="V102" s="52">
        <f>IF(ISERROR(VLOOKUP($S$102,'TAR FIN'!$A$1:$O$88,15,0)),0,VLOOKUP($S$102,'TAR FIN'!$A$1:$O$88,15,0))</f>
        <v>0</v>
      </c>
      <c r="W102" s="52">
        <f>IF(ISERROR(VLOOKUP($T$102,'TAR FIN'!$A$1:$O$88,15,0)),0,VLOOKUP($T$102,'TAR FIN'!$A$1:$O$88,15,0))*(1-0.06)</f>
        <v>2340.6469999999999</v>
      </c>
      <c r="X102" s="52">
        <f>IF(ISERROR(VLOOKUP($U$102,'TAR FIN'!$A$1:$O$88,15,0)),0,VLOOKUP($U$102,'TAR FIN'!$A$1:$O$88,15,0))*(1-0.06)</f>
        <v>155.29740000000001</v>
      </c>
      <c r="Y102" s="52"/>
      <c r="Z102" s="52">
        <f ca="1">('TUSD BE'!$AM$11+'TUSD BF'!$AM$11+'TUSD CVA'!$AM$11)*1*(1-0.03)</f>
        <v>2576.2752108420923</v>
      </c>
      <c r="AA102" s="52">
        <f>('TE BE'!$AB$5+'TE BF'!$AB$5+'TE CVA'!$AB$5)*1*(1-0.03)</f>
        <v>149.33869153269211</v>
      </c>
      <c r="AB102" s="4">
        <f>$K$102*$V$102</f>
        <v>0</v>
      </c>
      <c r="AC102" s="4">
        <f>$M$102*$W$102</f>
        <v>2591.0962289999998</v>
      </c>
      <c r="AD102" s="4">
        <f>$O$102*$X$102</f>
        <v>171.91422180000001</v>
      </c>
      <c r="AE102" s="4">
        <f>$K$102*$Y$102</f>
        <v>0</v>
      </c>
      <c r="AF102" s="4">
        <f ca="1">$M$102*$Z$102</f>
        <v>2851.9366584021959</v>
      </c>
      <c r="AG102" s="4">
        <f>$O$102*$AA$102</f>
        <v>165.31793152669016</v>
      </c>
    </row>
    <row r="103" spans="1:33" ht="11.25" customHeight="1" x14ac:dyDescent="0.25">
      <c r="A103" s="3" t="s">
        <v>21</v>
      </c>
      <c r="B103" s="3" t="s">
        <v>35</v>
      </c>
      <c r="C103" s="3" t="s">
        <v>36</v>
      </c>
      <c r="D103" s="3" t="s">
        <v>47</v>
      </c>
      <c r="E103" s="3" t="s">
        <v>48</v>
      </c>
      <c r="F103" s="3" t="s">
        <v>25</v>
      </c>
      <c r="G103" s="3" t="s">
        <v>25</v>
      </c>
      <c r="H103" s="3" t="s">
        <v>37</v>
      </c>
      <c r="I103" s="6">
        <v>44593</v>
      </c>
      <c r="J103" s="4">
        <v>0</v>
      </c>
      <c r="K103" s="52">
        <v>0</v>
      </c>
      <c r="L103" s="4">
        <v>1.0249999999999999</v>
      </c>
      <c r="M103" s="52">
        <v>1.0249999999999999</v>
      </c>
      <c r="N103" s="4">
        <v>1.0249999999999999</v>
      </c>
      <c r="O103" s="52">
        <v>1.0249999999999999</v>
      </c>
      <c r="P103" s="4">
        <v>0</v>
      </c>
      <c r="Q103" s="3" t="s">
        <v>26</v>
      </c>
      <c r="R103" s="3">
        <v>0</v>
      </c>
      <c r="S103" s="4">
        <v>0</v>
      </c>
      <c r="T103" s="4">
        <v>13</v>
      </c>
      <c r="U103" s="4">
        <v>42</v>
      </c>
      <c r="V103" s="52">
        <f>IF(ISERROR(VLOOKUP($S$103,'TAR FIN'!$A$1:$O$88,15,0)),0,VLOOKUP($S$103,'TAR FIN'!$A$1:$O$88,15,0))</f>
        <v>0</v>
      </c>
      <c r="W103" s="52">
        <f>IF(ISERROR(VLOOKUP($T$103,'TAR FIN'!$A$1:$O$88,15,0)),0,VLOOKUP($T$103,'TAR FIN'!$A$1:$O$88,15,0))*(1-0.06)</f>
        <v>2340.6469999999999</v>
      </c>
      <c r="X103" s="52">
        <f>IF(ISERROR(VLOOKUP($U$103,'TAR FIN'!$A$1:$O$88,15,0)),0,VLOOKUP($U$103,'TAR FIN'!$A$1:$O$88,15,0))*(1-0.06)</f>
        <v>155.29740000000001</v>
      </c>
      <c r="Y103" s="52"/>
      <c r="Z103" s="52">
        <f ca="1">('TUSD BE'!$AM$11+'TUSD BF'!$AM$11+'TUSD CVA'!$AM$11)*1*(1-0.03)</f>
        <v>2576.2752108420923</v>
      </c>
      <c r="AA103" s="52">
        <f>('TE BE'!$AB$5+'TE BF'!$AB$5+'TE CVA'!$AB$5)*1*(1-0.03)</f>
        <v>149.33869153269211</v>
      </c>
      <c r="AB103" s="4">
        <f>$K$103*$V$103</f>
        <v>0</v>
      </c>
      <c r="AC103" s="4">
        <f>$M$103*$W$103</f>
        <v>2399.1631749999997</v>
      </c>
      <c r="AD103" s="4">
        <f>$O$103*$X$103</f>
        <v>159.179835</v>
      </c>
      <c r="AE103" s="4">
        <f>$K$103*$Y$103</f>
        <v>0</v>
      </c>
      <c r="AF103" s="4">
        <f ca="1">$M$103*$Z$103</f>
        <v>2640.6820911131445</v>
      </c>
      <c r="AG103" s="4">
        <f>$O$103*$AA$103</f>
        <v>153.0721588210094</v>
      </c>
    </row>
    <row r="104" spans="1:33" ht="11.25" customHeight="1" x14ac:dyDescent="0.25">
      <c r="A104" s="3" t="s">
        <v>21</v>
      </c>
      <c r="B104" s="3" t="s">
        <v>35</v>
      </c>
      <c r="C104" s="3" t="s">
        <v>36</v>
      </c>
      <c r="D104" s="3" t="s">
        <v>47</v>
      </c>
      <c r="E104" s="3" t="s">
        <v>48</v>
      </c>
      <c r="F104" s="3" t="s">
        <v>25</v>
      </c>
      <c r="G104" s="3" t="s">
        <v>25</v>
      </c>
      <c r="H104" s="3" t="s">
        <v>37</v>
      </c>
      <c r="I104" s="6">
        <v>44621</v>
      </c>
      <c r="J104" s="4">
        <v>0</v>
      </c>
      <c r="K104" s="52">
        <v>0</v>
      </c>
      <c r="L104" s="4">
        <v>1.107</v>
      </c>
      <c r="M104" s="52">
        <v>1.107</v>
      </c>
      <c r="N104" s="4">
        <v>1.107</v>
      </c>
      <c r="O104" s="52">
        <v>1.107</v>
      </c>
      <c r="P104" s="4">
        <v>0</v>
      </c>
      <c r="Q104" s="3" t="s">
        <v>26</v>
      </c>
      <c r="R104" s="3">
        <v>0</v>
      </c>
      <c r="S104" s="4">
        <v>0</v>
      </c>
      <c r="T104" s="4">
        <v>13</v>
      </c>
      <c r="U104" s="4">
        <v>42</v>
      </c>
      <c r="V104" s="52">
        <f>IF(ISERROR(VLOOKUP($S$104,'TAR FIN'!$A$1:$O$88,15,0)),0,VLOOKUP($S$104,'TAR FIN'!$A$1:$O$88,15,0))</f>
        <v>0</v>
      </c>
      <c r="W104" s="52">
        <f>IF(ISERROR(VLOOKUP($T$104,'TAR FIN'!$A$1:$O$88,15,0)),0,VLOOKUP($T$104,'TAR FIN'!$A$1:$O$88,15,0))*(1-0.06)</f>
        <v>2340.6469999999999</v>
      </c>
      <c r="X104" s="52">
        <f>IF(ISERROR(VLOOKUP($U$104,'TAR FIN'!$A$1:$O$88,15,0)),0,VLOOKUP($U$104,'TAR FIN'!$A$1:$O$88,15,0))*(1-0.06)</f>
        <v>155.29740000000001</v>
      </c>
      <c r="Y104" s="52"/>
      <c r="Z104" s="52">
        <f ca="1">('TUSD BE'!$AM$11+'TUSD BF'!$AM$11+'TUSD CVA'!$AM$11)*1*(1-0.03)</f>
        <v>2576.2752108420923</v>
      </c>
      <c r="AA104" s="52">
        <f>('TE BE'!$AB$5+'TE BF'!$AB$5+'TE CVA'!$AB$5)*1*(1-0.03)</f>
        <v>149.33869153269211</v>
      </c>
      <c r="AB104" s="4">
        <f>$K$104*$V$104</f>
        <v>0</v>
      </c>
      <c r="AC104" s="4">
        <f>$M$104*$W$104</f>
        <v>2591.0962289999998</v>
      </c>
      <c r="AD104" s="4">
        <f>$O$104*$X$104</f>
        <v>171.91422180000001</v>
      </c>
      <c r="AE104" s="4">
        <f>$K$104*$Y$104</f>
        <v>0</v>
      </c>
      <c r="AF104" s="4">
        <f ca="1">$M$104*$Z$104</f>
        <v>2851.9366584021959</v>
      </c>
      <c r="AG104" s="4">
        <f>$O$104*$AA$104</f>
        <v>165.31793152669016</v>
      </c>
    </row>
    <row r="105" spans="1:33" ht="11.25" customHeight="1" x14ac:dyDescent="0.25">
      <c r="A105" s="3" t="s">
        <v>21</v>
      </c>
      <c r="B105" s="3" t="s">
        <v>35</v>
      </c>
      <c r="C105" s="3" t="s">
        <v>36</v>
      </c>
      <c r="D105" s="3" t="s">
        <v>47</v>
      </c>
      <c r="E105" s="3" t="s">
        <v>48</v>
      </c>
      <c r="F105" s="3" t="s">
        <v>25</v>
      </c>
      <c r="G105" s="3" t="s">
        <v>25</v>
      </c>
      <c r="H105" s="3" t="s">
        <v>37</v>
      </c>
      <c r="I105" s="6">
        <v>44652</v>
      </c>
      <c r="J105" s="4">
        <v>0</v>
      </c>
      <c r="K105" s="52">
        <v>0</v>
      </c>
      <c r="L105" s="4">
        <v>0.94299999999999995</v>
      </c>
      <c r="M105" s="52">
        <v>0.94299999999999995</v>
      </c>
      <c r="N105" s="4">
        <v>0.94299999999999995</v>
      </c>
      <c r="O105" s="52">
        <v>0.94299999999999995</v>
      </c>
      <c r="P105" s="4">
        <v>0</v>
      </c>
      <c r="Q105" s="3" t="s">
        <v>26</v>
      </c>
      <c r="R105" s="3">
        <v>0</v>
      </c>
      <c r="S105" s="4">
        <v>0</v>
      </c>
      <c r="T105" s="4">
        <v>13</v>
      </c>
      <c r="U105" s="4">
        <v>42</v>
      </c>
      <c r="V105" s="52">
        <f>IF(ISERROR(VLOOKUP($S$105,'TAR FIN'!$A$1:$O$88,15,0)),0,VLOOKUP($S$105,'TAR FIN'!$A$1:$O$88,15,0))</f>
        <v>0</v>
      </c>
      <c r="W105" s="52">
        <f>IF(ISERROR(VLOOKUP($T$105,'TAR FIN'!$A$1:$O$88,15,0)),0,VLOOKUP($T$105,'TAR FIN'!$A$1:$O$88,15,0))*(1-0.06)</f>
        <v>2340.6469999999999</v>
      </c>
      <c r="X105" s="52">
        <f>IF(ISERROR(VLOOKUP($U$105,'TAR FIN'!$A$1:$O$88,15,0)),0,VLOOKUP($U$105,'TAR FIN'!$A$1:$O$88,15,0))*(1-0.06)</f>
        <v>155.29740000000001</v>
      </c>
      <c r="Y105" s="52"/>
      <c r="Z105" s="52">
        <f ca="1">('TUSD BE'!$AM$11+'TUSD BF'!$AM$11+'TUSD CVA'!$AM$11)*1*(1-0.03)</f>
        <v>2576.2752108420923</v>
      </c>
      <c r="AA105" s="52">
        <f>('TE BE'!$AB$5+'TE BF'!$AB$5+'TE CVA'!$AB$5)*1*(1-0.03)</f>
        <v>149.33869153269211</v>
      </c>
      <c r="AB105" s="4">
        <f>$K$105*$V$105</f>
        <v>0</v>
      </c>
      <c r="AC105" s="4">
        <f>$M$105*$W$105</f>
        <v>2207.2301209999996</v>
      </c>
      <c r="AD105" s="4">
        <f>$O$105*$X$105</f>
        <v>146.44544820000002</v>
      </c>
      <c r="AE105" s="4">
        <f>$K$105*$Y$105</f>
        <v>0</v>
      </c>
      <c r="AF105" s="4">
        <f ca="1">$M$105*$Z$105</f>
        <v>2429.427523824093</v>
      </c>
      <c r="AG105" s="4">
        <f>$O$105*$AA$105</f>
        <v>140.82638611532866</v>
      </c>
    </row>
    <row r="106" spans="1:33" ht="11.25" customHeight="1" x14ac:dyDescent="0.25">
      <c r="A106" s="3" t="s">
        <v>21</v>
      </c>
      <c r="B106" s="3" t="s">
        <v>35</v>
      </c>
      <c r="C106" s="3" t="s">
        <v>36</v>
      </c>
      <c r="D106" s="3" t="s">
        <v>47</v>
      </c>
      <c r="E106" s="3" t="s">
        <v>48</v>
      </c>
      <c r="F106" s="3" t="s">
        <v>25</v>
      </c>
      <c r="G106" s="3" t="s">
        <v>25</v>
      </c>
      <c r="H106" s="3" t="s">
        <v>37</v>
      </c>
      <c r="I106" s="6">
        <v>44682</v>
      </c>
      <c r="J106" s="4">
        <v>0</v>
      </c>
      <c r="K106" s="52">
        <v>0</v>
      </c>
      <c r="L106" s="4">
        <v>0.90200000000000002</v>
      </c>
      <c r="M106" s="52">
        <v>0.90200000000000002</v>
      </c>
      <c r="N106" s="4">
        <v>0.90200000000000002</v>
      </c>
      <c r="O106" s="52">
        <v>0.90200000000000002</v>
      </c>
      <c r="P106" s="4">
        <v>0</v>
      </c>
      <c r="Q106" s="3" t="s">
        <v>26</v>
      </c>
      <c r="R106" s="3">
        <v>0</v>
      </c>
      <c r="S106" s="4">
        <v>0</v>
      </c>
      <c r="T106" s="4">
        <v>13</v>
      </c>
      <c r="U106" s="4">
        <v>42</v>
      </c>
      <c r="V106" s="52">
        <f>IF(ISERROR(VLOOKUP($S$106,'TAR FIN'!$A$1:$O$88,15,0)),0,VLOOKUP($S$106,'TAR FIN'!$A$1:$O$88,15,0))</f>
        <v>0</v>
      </c>
      <c r="W106" s="52">
        <f>IF(ISERROR(VLOOKUP($T$106,'TAR FIN'!$A$1:$O$88,15,0)),0,VLOOKUP($T$106,'TAR FIN'!$A$1:$O$88,15,0))*(1-0.06)</f>
        <v>2340.6469999999999</v>
      </c>
      <c r="X106" s="52">
        <f>IF(ISERROR(VLOOKUP($U$106,'TAR FIN'!$A$1:$O$88,15,0)),0,VLOOKUP($U$106,'TAR FIN'!$A$1:$O$88,15,0))*(1-0.06)</f>
        <v>155.29740000000001</v>
      </c>
      <c r="Y106" s="52"/>
      <c r="Z106" s="52">
        <f ca="1">('TUSD BE'!$AM$11+'TUSD BF'!$AM$11+'TUSD CVA'!$AM$11)*1*(1-0.03)</f>
        <v>2576.2752108420923</v>
      </c>
      <c r="AA106" s="52">
        <f>('TE BE'!$AB$5+'TE BF'!$AB$5+'TE CVA'!$AB$5)*1*(1-0.03)</f>
        <v>149.33869153269211</v>
      </c>
      <c r="AB106" s="4">
        <f>$K$106*$V$106</f>
        <v>0</v>
      </c>
      <c r="AC106" s="4">
        <f>$M$106*$W$106</f>
        <v>2111.263594</v>
      </c>
      <c r="AD106" s="4">
        <f>$O$106*$X$106</f>
        <v>140.07825480000002</v>
      </c>
      <c r="AE106" s="4">
        <f>$K$106*$Y$106</f>
        <v>0</v>
      </c>
      <c r="AF106" s="4">
        <f ca="1">$M$106*$Z$106</f>
        <v>2323.8002401795675</v>
      </c>
      <c r="AG106" s="4">
        <f>$O$106*$AA$106</f>
        <v>134.70349976248829</v>
      </c>
    </row>
    <row r="107" spans="1:33" ht="11.25" customHeight="1" x14ac:dyDescent="0.25">
      <c r="A107" s="3" t="s">
        <v>21</v>
      </c>
      <c r="B107" s="3" t="s">
        <v>35</v>
      </c>
      <c r="C107" s="3" t="s">
        <v>36</v>
      </c>
      <c r="D107" s="3" t="s">
        <v>47</v>
      </c>
      <c r="E107" s="3" t="s">
        <v>48</v>
      </c>
      <c r="F107" s="3" t="s">
        <v>25</v>
      </c>
      <c r="G107" s="3" t="s">
        <v>25</v>
      </c>
      <c r="H107" s="3" t="s">
        <v>37</v>
      </c>
      <c r="I107" s="6">
        <v>44713</v>
      </c>
      <c r="J107" s="4">
        <v>0</v>
      </c>
      <c r="K107" s="52">
        <v>0</v>
      </c>
      <c r="L107" s="4">
        <v>0.90200000000000002</v>
      </c>
      <c r="M107" s="52">
        <v>0.90200000000000002</v>
      </c>
      <c r="N107" s="4">
        <v>0.90200000000000002</v>
      </c>
      <c r="O107" s="52">
        <v>0.90200000000000002</v>
      </c>
      <c r="P107" s="4">
        <v>0</v>
      </c>
      <c r="Q107" s="3" t="s">
        <v>26</v>
      </c>
      <c r="R107" s="3">
        <v>0</v>
      </c>
      <c r="S107" s="4">
        <v>0</v>
      </c>
      <c r="T107" s="4">
        <v>13</v>
      </c>
      <c r="U107" s="4">
        <v>42</v>
      </c>
      <c r="V107" s="52">
        <f>IF(ISERROR(VLOOKUP($S$107,'TAR FIN'!$A$1:$O$88,15,0)),0,VLOOKUP($S$107,'TAR FIN'!$A$1:$O$88,15,0))</f>
        <v>0</v>
      </c>
      <c r="W107" s="52">
        <f>IF(ISERROR(VLOOKUP($T$107,'TAR FIN'!$A$1:$O$88,15,0)),0,VLOOKUP($T$107,'TAR FIN'!$A$1:$O$88,15,0))*(1-0.06)</f>
        <v>2340.6469999999999</v>
      </c>
      <c r="X107" s="52">
        <f>IF(ISERROR(VLOOKUP($U$107,'TAR FIN'!$A$1:$O$88,15,0)),0,VLOOKUP($U$107,'TAR FIN'!$A$1:$O$88,15,0))*(1-0.06)</f>
        <v>155.29740000000001</v>
      </c>
      <c r="Y107" s="52"/>
      <c r="Z107" s="52">
        <f ca="1">('TUSD BE'!$AM$11+'TUSD BF'!$AM$11+'TUSD CVA'!$AM$11)*1*(1-0.03)</f>
        <v>2576.2752108420923</v>
      </c>
      <c r="AA107" s="52">
        <f>('TE BE'!$AB$5+'TE BF'!$AB$5+'TE CVA'!$AB$5)*1*(1-0.03)</f>
        <v>149.33869153269211</v>
      </c>
      <c r="AB107" s="4">
        <f>$K$107*$V$107</f>
        <v>0</v>
      </c>
      <c r="AC107" s="4">
        <f>$M$107*$W$107</f>
        <v>2111.263594</v>
      </c>
      <c r="AD107" s="4">
        <f>$O$107*$X$107</f>
        <v>140.07825480000002</v>
      </c>
      <c r="AE107" s="4">
        <f>$K$107*$Y$107</f>
        <v>0</v>
      </c>
      <c r="AF107" s="4">
        <f ca="1">$M$107*$Z$107</f>
        <v>2323.8002401795675</v>
      </c>
      <c r="AG107" s="4">
        <f>$O$107*$AA$107</f>
        <v>134.70349976248829</v>
      </c>
    </row>
    <row r="108" spans="1:33" ht="11.25" customHeight="1" x14ac:dyDescent="0.25">
      <c r="A108" s="3" t="s">
        <v>21</v>
      </c>
      <c r="B108" s="3" t="s">
        <v>35</v>
      </c>
      <c r="C108" s="3" t="s">
        <v>36</v>
      </c>
      <c r="D108" s="3" t="s">
        <v>47</v>
      </c>
      <c r="E108" s="3" t="s">
        <v>48</v>
      </c>
      <c r="F108" s="3" t="s">
        <v>25</v>
      </c>
      <c r="G108" s="3" t="s">
        <v>25</v>
      </c>
      <c r="H108" s="3" t="s">
        <v>37</v>
      </c>
      <c r="I108" s="6">
        <v>44743</v>
      </c>
      <c r="J108" s="4">
        <v>0</v>
      </c>
      <c r="K108" s="52">
        <v>0</v>
      </c>
      <c r="L108" s="4">
        <v>1.0660000000000001</v>
      </c>
      <c r="M108" s="52">
        <v>1.0660000000000001</v>
      </c>
      <c r="N108" s="4">
        <v>1.0660000000000001</v>
      </c>
      <c r="O108" s="52">
        <v>1.0660000000000001</v>
      </c>
      <c r="P108" s="4">
        <v>0</v>
      </c>
      <c r="Q108" s="3" t="s">
        <v>26</v>
      </c>
      <c r="R108" s="3">
        <v>0</v>
      </c>
      <c r="S108" s="4">
        <v>0</v>
      </c>
      <c r="T108" s="4">
        <v>13</v>
      </c>
      <c r="U108" s="4">
        <v>42</v>
      </c>
      <c r="V108" s="52">
        <f>IF(ISERROR(VLOOKUP($S$108,'TAR FIN'!$A$1:$O$88,15,0)),0,VLOOKUP($S$108,'TAR FIN'!$A$1:$O$88,15,0))</f>
        <v>0</v>
      </c>
      <c r="W108" s="52">
        <f>IF(ISERROR(VLOOKUP($T$108,'TAR FIN'!$A$1:$O$88,15,0)),0,VLOOKUP($T$108,'TAR FIN'!$A$1:$O$88,15,0))*(1-0.06)</f>
        <v>2340.6469999999999</v>
      </c>
      <c r="X108" s="52">
        <f>IF(ISERROR(VLOOKUP($U$108,'TAR FIN'!$A$1:$O$88,15,0)),0,VLOOKUP($U$108,'TAR FIN'!$A$1:$O$88,15,0))*(1-0.06)</f>
        <v>155.29740000000001</v>
      </c>
      <c r="Y108" s="52"/>
      <c r="Z108" s="52">
        <f ca="1">('TUSD BE'!$AM$11+'TUSD BF'!$AM$11+'TUSD CVA'!$AM$11)*1*(1-0.03)</f>
        <v>2576.2752108420923</v>
      </c>
      <c r="AA108" s="52">
        <f>('TE BE'!$AB$5+'TE BF'!$AB$5+'TE CVA'!$AB$5)*1*(1-0.03)</f>
        <v>149.33869153269211</v>
      </c>
      <c r="AB108" s="4">
        <f>$K$108*$V$108</f>
        <v>0</v>
      </c>
      <c r="AC108" s="4">
        <f>$M$108*$W$108</f>
        <v>2495.1297020000002</v>
      </c>
      <c r="AD108" s="4">
        <f>$O$108*$X$108</f>
        <v>165.54702840000002</v>
      </c>
      <c r="AE108" s="4">
        <f>$K$108*$Y$108</f>
        <v>0</v>
      </c>
      <c r="AF108" s="4">
        <f ca="1">$M$108*$Z$108</f>
        <v>2746.3093747576704</v>
      </c>
      <c r="AG108" s="4">
        <f>$O$108*$AA$108</f>
        <v>159.19504517384979</v>
      </c>
    </row>
    <row r="109" spans="1:33" ht="11.25" customHeight="1" x14ac:dyDescent="0.25">
      <c r="A109" s="3" t="s">
        <v>21</v>
      </c>
      <c r="B109" s="3" t="s">
        <v>35</v>
      </c>
      <c r="C109" s="3" t="s">
        <v>36</v>
      </c>
      <c r="D109" s="3" t="s">
        <v>47</v>
      </c>
      <c r="E109" s="3" t="s">
        <v>48</v>
      </c>
      <c r="F109" s="3" t="s">
        <v>25</v>
      </c>
      <c r="G109" s="3" t="s">
        <v>25</v>
      </c>
      <c r="H109" s="3" t="s">
        <v>37</v>
      </c>
      <c r="I109" s="6">
        <v>44774</v>
      </c>
      <c r="J109" s="4">
        <v>0</v>
      </c>
      <c r="K109" s="52">
        <v>0</v>
      </c>
      <c r="L109" s="4">
        <v>0.94299999999999995</v>
      </c>
      <c r="M109" s="52">
        <v>0.94299999999999995</v>
      </c>
      <c r="N109" s="4">
        <v>0.94299999999999995</v>
      </c>
      <c r="O109" s="52">
        <v>0.94299999999999995</v>
      </c>
      <c r="P109" s="4">
        <v>0</v>
      </c>
      <c r="Q109" s="3" t="s">
        <v>26</v>
      </c>
      <c r="R109" s="3">
        <v>0</v>
      </c>
      <c r="S109" s="4">
        <v>0</v>
      </c>
      <c r="T109" s="4">
        <v>13</v>
      </c>
      <c r="U109" s="4">
        <v>42</v>
      </c>
      <c r="V109" s="52">
        <f>IF(ISERROR(VLOOKUP($S$109,'TAR FIN'!$A$1:$O$88,15,0)),0,VLOOKUP($S$109,'TAR FIN'!$A$1:$O$88,15,0))</f>
        <v>0</v>
      </c>
      <c r="W109" s="52">
        <f>IF(ISERROR(VLOOKUP($T$109,'TAR FIN'!$A$1:$O$88,15,0)),0,VLOOKUP($T$109,'TAR FIN'!$A$1:$O$88,15,0))*(1-0.06)</f>
        <v>2340.6469999999999</v>
      </c>
      <c r="X109" s="52">
        <f>IF(ISERROR(VLOOKUP($U$109,'TAR FIN'!$A$1:$O$88,15,0)),0,VLOOKUP($U$109,'TAR FIN'!$A$1:$O$88,15,0))*(1-0.06)</f>
        <v>155.29740000000001</v>
      </c>
      <c r="Y109" s="52"/>
      <c r="Z109" s="52">
        <f ca="1">('TUSD BE'!$AM$11+'TUSD BF'!$AM$11+'TUSD CVA'!$AM$11)*1*(1-0.03)</f>
        <v>2576.2752108420923</v>
      </c>
      <c r="AA109" s="52">
        <f>('TE BE'!$AB$5+'TE BF'!$AB$5+'TE CVA'!$AB$5)*1*(1-0.03)</f>
        <v>149.33869153269211</v>
      </c>
      <c r="AB109" s="4">
        <f>$K$109*$V$109</f>
        <v>0</v>
      </c>
      <c r="AC109" s="4">
        <f>$M$109*$W$109</f>
        <v>2207.2301209999996</v>
      </c>
      <c r="AD109" s="4">
        <f>$O$109*$X$109</f>
        <v>146.44544820000002</v>
      </c>
      <c r="AE109" s="4">
        <f>$K$109*$Y$109</f>
        <v>0</v>
      </c>
      <c r="AF109" s="4">
        <f ca="1">$M$109*$Z$109</f>
        <v>2429.427523824093</v>
      </c>
      <c r="AG109" s="4">
        <f>$O$109*$AA$109</f>
        <v>140.82638611532866</v>
      </c>
    </row>
    <row r="110" spans="1:33" ht="11.25" customHeight="1" x14ac:dyDescent="0.25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24</v>
      </c>
      <c r="F110" s="3" t="s">
        <v>25</v>
      </c>
      <c r="G110" s="3" t="s">
        <v>25</v>
      </c>
      <c r="H110" s="3" t="s">
        <v>25</v>
      </c>
      <c r="I110" s="6">
        <v>44440</v>
      </c>
      <c r="J110" s="4">
        <v>0</v>
      </c>
      <c r="K110" s="4">
        <v>0</v>
      </c>
      <c r="L110" s="4">
        <v>821.30100000000004</v>
      </c>
      <c r="M110" s="4">
        <v>821.30100000000004</v>
      </c>
      <c r="N110" s="4">
        <v>821.30100000000004</v>
      </c>
      <c r="O110" s="4">
        <v>821.30100000000004</v>
      </c>
      <c r="P110" s="4">
        <v>4410</v>
      </c>
      <c r="Q110" s="3" t="s">
        <v>26</v>
      </c>
      <c r="R110" s="3">
        <v>0</v>
      </c>
      <c r="S110" s="4">
        <v>0</v>
      </c>
      <c r="T110" s="4">
        <v>20</v>
      </c>
      <c r="U110" s="4">
        <v>51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476.06</v>
      </c>
      <c r="X110" s="4">
        <f>IF(ISERROR(VLOOKUP($U$110,'TAR FIN'!$A$1:$O$88,15,0)),0,VLOOKUP($U$110,'TAR FIN'!$A$1:$O$88,15,0))</f>
        <v>165.21</v>
      </c>
      <c r="Y110" s="4"/>
      <c r="Z110" s="4">
        <f ca="1">('TUSD BE'!$AM$20+'TUSD BF'!$AM$20+'TUSD CVA'!$AM$20)*1</f>
        <v>529.7136948578077</v>
      </c>
      <c r="AA110" s="4">
        <f>('TE BE'!$AB$10+'TE BF'!$AB$10+'TE CVA'!$AB$10)*1</f>
        <v>153.95741395122897</v>
      </c>
      <c r="AB110" s="4">
        <f>$K$110*$V$110</f>
        <v>0</v>
      </c>
      <c r="AC110" s="4">
        <f>$M$110*$W$110</f>
        <v>390988.55405999999</v>
      </c>
      <c r="AD110" s="4">
        <f>$O$110*$X$110</f>
        <v>135687.13821</v>
      </c>
      <c r="AE110" s="4">
        <f>$K$110*$Y$110</f>
        <v>0</v>
      </c>
      <c r="AF110" s="4">
        <f ca="1">$M$110*$Z$110</f>
        <v>435054.38730041235</v>
      </c>
      <c r="AG110" s="4">
        <f>$O$110*$AA$110</f>
        <v>126445.37803555831</v>
      </c>
    </row>
    <row r="111" spans="1:33" ht="11.25" customHeight="1" x14ac:dyDescent="0.25">
      <c r="A111" s="3" t="s">
        <v>27</v>
      </c>
      <c r="B111" s="3" t="s">
        <v>22</v>
      </c>
      <c r="C111" s="3" t="s">
        <v>23</v>
      </c>
      <c r="D111" s="3" t="s">
        <v>24</v>
      </c>
      <c r="E111" s="3" t="s">
        <v>24</v>
      </c>
      <c r="F111" s="3" t="s">
        <v>25</v>
      </c>
      <c r="G111" s="3" t="s">
        <v>25</v>
      </c>
      <c r="H111" s="3" t="s">
        <v>25</v>
      </c>
      <c r="I111" s="6">
        <v>44440</v>
      </c>
      <c r="J111" s="4">
        <v>0</v>
      </c>
      <c r="K111" s="4">
        <v>0</v>
      </c>
      <c r="L111" s="4">
        <v>-1.7869999999999999</v>
      </c>
      <c r="M111" s="4">
        <v>-1.7869999999999999</v>
      </c>
      <c r="N111" s="4">
        <v>-1.7869999999999999</v>
      </c>
      <c r="O111" s="4">
        <v>-1.7869999999999999</v>
      </c>
      <c r="P111" s="4">
        <v>0</v>
      </c>
      <c r="Q111" s="3" t="s">
        <v>26</v>
      </c>
      <c r="R111" s="3">
        <v>0</v>
      </c>
      <c r="S111" s="4">
        <v>0</v>
      </c>
      <c r="T111" s="4">
        <v>20</v>
      </c>
      <c r="U111" s="4">
        <v>51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476.06</v>
      </c>
      <c r="X111" s="4">
        <f>IF(ISERROR(VLOOKUP($U$111,'TAR FIN'!$A$1:$O$88,15,0)),0,VLOOKUP($U$111,'TAR FIN'!$A$1:$O$88,15,0))</f>
        <v>165.21</v>
      </c>
      <c r="Y111" s="4"/>
      <c r="Z111" s="4">
        <f ca="1">('TUSD BE'!$AM$20+'TUSD BF'!$AM$20+'TUSD CVA'!$AM$20)*1</f>
        <v>529.7136948578077</v>
      </c>
      <c r="AA111" s="4">
        <f>('TE BE'!$AB$10+'TE BF'!$AB$10+'TE CVA'!$AB$10)*1</f>
        <v>153.95741395122897</v>
      </c>
      <c r="AB111" s="4">
        <f>$K$111*$V$111</f>
        <v>0</v>
      </c>
      <c r="AC111" s="4">
        <f>$M$111*$W$111</f>
        <v>-850.71921999999995</v>
      </c>
      <c r="AD111" s="4">
        <f>$O$111*$X$111</f>
        <v>-295.23027000000002</v>
      </c>
      <c r="AE111" s="4">
        <f>$K$111*$Y$111</f>
        <v>0</v>
      </c>
      <c r="AF111" s="4">
        <f ca="1">$M$111*$Z$111</f>
        <v>-946.59837271090225</v>
      </c>
      <c r="AG111" s="4">
        <f>$O$111*$AA$111</f>
        <v>-275.12189873084617</v>
      </c>
    </row>
    <row r="112" spans="1:33" ht="11.25" customHeight="1" x14ac:dyDescent="0.25">
      <c r="A112" s="3" t="s">
        <v>28</v>
      </c>
      <c r="B112" s="3" t="s">
        <v>22</v>
      </c>
      <c r="C112" s="3" t="s">
        <v>23</v>
      </c>
      <c r="D112" s="3" t="s">
        <v>24</v>
      </c>
      <c r="E112" s="3" t="s">
        <v>24</v>
      </c>
      <c r="F112" s="3" t="s">
        <v>25</v>
      </c>
      <c r="G112" s="3" t="s">
        <v>25</v>
      </c>
      <c r="H112" s="3" t="s">
        <v>25</v>
      </c>
      <c r="I112" s="6">
        <v>44440</v>
      </c>
      <c r="J112" s="4">
        <v>0</v>
      </c>
      <c r="K112" s="4">
        <v>0</v>
      </c>
      <c r="L112" s="4">
        <v>8.6</v>
      </c>
      <c r="M112" s="4">
        <v>8.6</v>
      </c>
      <c r="N112" s="4">
        <v>8.6</v>
      </c>
      <c r="O112" s="4">
        <v>8.6</v>
      </c>
      <c r="P112" s="4">
        <v>59</v>
      </c>
      <c r="Q112" s="3" t="s">
        <v>26</v>
      </c>
      <c r="R112" s="3">
        <v>0</v>
      </c>
      <c r="S112" s="4">
        <v>0</v>
      </c>
      <c r="T112" s="4">
        <v>20</v>
      </c>
      <c r="U112" s="4">
        <v>51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476.06</v>
      </c>
      <c r="X112" s="4">
        <f>IF(ISERROR(VLOOKUP($U$112,'TAR FIN'!$A$1:$O$88,15,0)),0,VLOOKUP($U$112,'TAR FIN'!$A$1:$O$88,15,0))</f>
        <v>165.21</v>
      </c>
      <c r="Y112" s="4"/>
      <c r="Z112" s="4">
        <f ca="1">('TUSD BE'!$AM$20+'TUSD BF'!$AM$20+'TUSD CVA'!$AM$20)*1</f>
        <v>529.7136948578077</v>
      </c>
      <c r="AA112" s="4">
        <f>('TE BE'!$AB$10+'TE BF'!$AB$10+'TE CVA'!$AB$10)*1</f>
        <v>153.95741395122897</v>
      </c>
      <c r="AB112" s="4">
        <f>$K$112*$V$112</f>
        <v>0</v>
      </c>
      <c r="AC112" s="4">
        <f>$M$112*$W$112</f>
        <v>4094.116</v>
      </c>
      <c r="AD112" s="4">
        <f>$O$112*$X$112</f>
        <v>1420.806</v>
      </c>
      <c r="AE112" s="4">
        <f>$K$112*$Y$112</f>
        <v>0</v>
      </c>
      <c r="AF112" s="4">
        <f ca="1">$M$112*$Z$112</f>
        <v>4555.5377757771457</v>
      </c>
      <c r="AG112" s="4">
        <f>$O$112*$AA$112</f>
        <v>1324.0337599805691</v>
      </c>
    </row>
    <row r="113" spans="1:33" ht="11.25" customHeight="1" x14ac:dyDescent="0.25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24</v>
      </c>
      <c r="F113" s="3" t="s">
        <v>25</v>
      </c>
      <c r="G113" s="3" t="s">
        <v>25</v>
      </c>
      <c r="H113" s="3" t="s">
        <v>25</v>
      </c>
      <c r="I113" s="6">
        <v>44470</v>
      </c>
      <c r="J113" s="4">
        <v>0</v>
      </c>
      <c r="K113" s="4">
        <v>0</v>
      </c>
      <c r="L113" s="4">
        <v>703.47500000000002</v>
      </c>
      <c r="M113" s="4">
        <v>703.47500000000002</v>
      </c>
      <c r="N113" s="4">
        <v>703.47500000000002</v>
      </c>
      <c r="O113" s="4">
        <v>703.47500000000002</v>
      </c>
      <c r="P113" s="4">
        <v>4424</v>
      </c>
      <c r="Q113" s="3" t="s">
        <v>26</v>
      </c>
      <c r="R113" s="3">
        <v>0</v>
      </c>
      <c r="S113" s="4">
        <v>0</v>
      </c>
      <c r="T113" s="4">
        <v>20</v>
      </c>
      <c r="U113" s="4">
        <v>51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476.06</v>
      </c>
      <c r="X113" s="4">
        <f>IF(ISERROR(VLOOKUP($U$113,'TAR FIN'!$A$1:$O$88,15,0)),0,VLOOKUP($U$113,'TAR FIN'!$A$1:$O$88,15,0))</f>
        <v>165.21</v>
      </c>
      <c r="Y113" s="4"/>
      <c r="Z113" s="4">
        <f ca="1">('TUSD BE'!$AM$20+'TUSD BF'!$AM$20+'TUSD CVA'!$AM$20)*1</f>
        <v>529.7136948578077</v>
      </c>
      <c r="AA113" s="4">
        <f>('TE BE'!$AB$10+'TE BF'!$AB$10+'TE CVA'!$AB$10)*1</f>
        <v>153.95741395122897</v>
      </c>
      <c r="AB113" s="4">
        <f>$K$113*$V$113</f>
        <v>0</v>
      </c>
      <c r="AC113" s="4">
        <f>$M$113*$W$113</f>
        <v>334896.30849999998</v>
      </c>
      <c r="AD113" s="4">
        <f>$O$113*$X$113</f>
        <v>116221.10475000001</v>
      </c>
      <c r="AE113" s="4">
        <f>$K$113*$Y$113</f>
        <v>0</v>
      </c>
      <c r="AF113" s="4">
        <f ca="1">$M$113*$Z$113</f>
        <v>372640.3414900963</v>
      </c>
      <c r="AG113" s="4">
        <f>$O$113*$AA$113</f>
        <v>108305.19177934081</v>
      </c>
    </row>
    <row r="114" spans="1:33" ht="11.25" customHeight="1" x14ac:dyDescent="0.25">
      <c r="A114" s="3" t="s">
        <v>28</v>
      </c>
      <c r="B114" s="3" t="s">
        <v>22</v>
      </c>
      <c r="C114" s="3" t="s">
        <v>23</v>
      </c>
      <c r="D114" s="3" t="s">
        <v>24</v>
      </c>
      <c r="E114" s="3" t="s">
        <v>24</v>
      </c>
      <c r="F114" s="3" t="s">
        <v>25</v>
      </c>
      <c r="G114" s="3" t="s">
        <v>25</v>
      </c>
      <c r="H114" s="3" t="s">
        <v>25</v>
      </c>
      <c r="I114" s="6">
        <v>44470</v>
      </c>
      <c r="J114" s="4">
        <v>0</v>
      </c>
      <c r="K114" s="4">
        <v>0</v>
      </c>
      <c r="L114" s="4">
        <v>9.7889999999999997</v>
      </c>
      <c r="M114" s="4">
        <v>9.7889999999999997</v>
      </c>
      <c r="N114" s="4">
        <v>9.7889999999999997</v>
      </c>
      <c r="O114" s="4">
        <v>9.7889999999999997</v>
      </c>
      <c r="P114" s="4">
        <v>62</v>
      </c>
      <c r="Q114" s="3" t="s">
        <v>26</v>
      </c>
      <c r="R114" s="3">
        <v>0</v>
      </c>
      <c r="S114" s="4">
        <v>0</v>
      </c>
      <c r="T114" s="4">
        <v>20</v>
      </c>
      <c r="U114" s="4">
        <v>51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476.06</v>
      </c>
      <c r="X114" s="4">
        <f>IF(ISERROR(VLOOKUP($U$114,'TAR FIN'!$A$1:$O$88,15,0)),0,VLOOKUP($U$114,'TAR FIN'!$A$1:$O$88,15,0))</f>
        <v>165.21</v>
      </c>
      <c r="Y114" s="4"/>
      <c r="Z114" s="4">
        <f ca="1">('TUSD BE'!$AM$20+'TUSD BF'!$AM$20+'TUSD CVA'!$AM$20)*1</f>
        <v>529.7136948578077</v>
      </c>
      <c r="AA114" s="4">
        <f>('TE BE'!$AB$10+'TE BF'!$AB$10+'TE CVA'!$AB$10)*1</f>
        <v>153.95741395122897</v>
      </c>
      <c r="AB114" s="4">
        <f>$K$114*$V$114</f>
        <v>0</v>
      </c>
      <c r="AC114" s="4">
        <f>$M$114*$W$114</f>
        <v>4660.1513399999994</v>
      </c>
      <c r="AD114" s="4">
        <f>$O$114*$X$114</f>
        <v>1617.2406900000001</v>
      </c>
      <c r="AE114" s="4">
        <f>$K$114*$Y$114</f>
        <v>0</v>
      </c>
      <c r="AF114" s="4">
        <f ca="1">$M$114*$Z$114</f>
        <v>5185.3673589630798</v>
      </c>
      <c r="AG114" s="4">
        <f>$O$114*$AA$114</f>
        <v>1507.0891251685803</v>
      </c>
    </row>
    <row r="115" spans="1:33" ht="11.25" customHeight="1" x14ac:dyDescent="0.2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24</v>
      </c>
      <c r="F115" s="3" t="s">
        <v>25</v>
      </c>
      <c r="G115" s="3" t="s">
        <v>25</v>
      </c>
      <c r="H115" s="3" t="s">
        <v>25</v>
      </c>
      <c r="I115" s="6">
        <v>44501</v>
      </c>
      <c r="J115" s="4">
        <v>0</v>
      </c>
      <c r="K115" s="4">
        <v>0</v>
      </c>
      <c r="L115" s="4">
        <v>801.90200000000004</v>
      </c>
      <c r="M115" s="4">
        <v>801.90200000000004</v>
      </c>
      <c r="N115" s="4">
        <v>801.90200000000004</v>
      </c>
      <c r="O115" s="4">
        <v>801.90200000000004</v>
      </c>
      <c r="P115" s="4">
        <v>4427</v>
      </c>
      <c r="Q115" s="3" t="s">
        <v>26</v>
      </c>
      <c r="R115" s="3">
        <v>0</v>
      </c>
      <c r="S115" s="4">
        <v>0</v>
      </c>
      <c r="T115" s="4">
        <v>20</v>
      </c>
      <c r="U115" s="4">
        <v>51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476.06</v>
      </c>
      <c r="X115" s="4">
        <f>IF(ISERROR(VLOOKUP($U$115,'TAR FIN'!$A$1:$O$88,15,0)),0,VLOOKUP($U$115,'TAR FIN'!$A$1:$O$88,15,0))</f>
        <v>165.21</v>
      </c>
      <c r="Y115" s="4"/>
      <c r="Z115" s="4">
        <f ca="1">('TUSD BE'!$AM$20+'TUSD BF'!$AM$20+'TUSD CVA'!$AM$20)*1</f>
        <v>529.7136948578077</v>
      </c>
      <c r="AA115" s="4">
        <f>('TE BE'!$AB$10+'TE BF'!$AB$10+'TE CVA'!$AB$10)*1</f>
        <v>153.95741395122897</v>
      </c>
      <c r="AB115" s="4">
        <f>$K$115*$V$115</f>
        <v>0</v>
      </c>
      <c r="AC115" s="4">
        <f>$M$115*$W$115</f>
        <v>381753.46612</v>
      </c>
      <c r="AD115" s="4">
        <f>$O$115*$X$115</f>
        <v>132482.22942000002</v>
      </c>
      <c r="AE115" s="4">
        <f>$K$115*$Y$115</f>
        <v>0</v>
      </c>
      <c r="AF115" s="4">
        <f ca="1">$M$115*$Z$115</f>
        <v>424778.47133386572</v>
      </c>
      <c r="AG115" s="4">
        <f>$O$115*$AA$115</f>
        <v>123458.75816231842</v>
      </c>
    </row>
    <row r="116" spans="1:33" ht="11.25" customHeight="1" x14ac:dyDescent="0.25">
      <c r="A116" s="3" t="s">
        <v>27</v>
      </c>
      <c r="B116" s="3" t="s">
        <v>22</v>
      </c>
      <c r="C116" s="3" t="s">
        <v>23</v>
      </c>
      <c r="D116" s="3" t="s">
        <v>24</v>
      </c>
      <c r="E116" s="3" t="s">
        <v>24</v>
      </c>
      <c r="F116" s="3" t="s">
        <v>25</v>
      </c>
      <c r="G116" s="3" t="s">
        <v>25</v>
      </c>
      <c r="H116" s="3" t="s">
        <v>25</v>
      </c>
      <c r="I116" s="6">
        <v>44501</v>
      </c>
      <c r="J116" s="4">
        <v>0</v>
      </c>
      <c r="K116" s="4">
        <v>0</v>
      </c>
      <c r="L116" s="4">
        <v>-0.185</v>
      </c>
      <c r="M116" s="4">
        <v>-0.185</v>
      </c>
      <c r="N116" s="4">
        <v>-0.185</v>
      </c>
      <c r="O116" s="4">
        <v>-0.185</v>
      </c>
      <c r="P116" s="4">
        <v>0</v>
      </c>
      <c r="Q116" s="3" t="s">
        <v>26</v>
      </c>
      <c r="R116" s="3">
        <v>0</v>
      </c>
      <c r="S116" s="4">
        <v>0</v>
      </c>
      <c r="T116" s="4">
        <v>20</v>
      </c>
      <c r="U116" s="4">
        <v>51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476.06</v>
      </c>
      <c r="X116" s="4">
        <f>IF(ISERROR(VLOOKUP($U$116,'TAR FIN'!$A$1:$O$88,15,0)),0,VLOOKUP($U$116,'TAR FIN'!$A$1:$O$88,15,0))</f>
        <v>165.21</v>
      </c>
      <c r="Y116" s="4"/>
      <c r="Z116" s="4">
        <f ca="1">('TUSD BE'!$AM$20+'TUSD BF'!$AM$20+'TUSD CVA'!$AM$20)*1</f>
        <v>529.7136948578077</v>
      </c>
      <c r="AA116" s="4">
        <f>('TE BE'!$AB$10+'TE BF'!$AB$10+'TE CVA'!$AB$10)*1</f>
        <v>153.95741395122897</v>
      </c>
      <c r="AB116" s="4">
        <f>$K$116*$V$116</f>
        <v>0</v>
      </c>
      <c r="AC116" s="4">
        <f>$M$116*$W$116</f>
        <v>-88.071100000000001</v>
      </c>
      <c r="AD116" s="4">
        <f>$O$116*$X$116</f>
        <v>-30.563850000000002</v>
      </c>
      <c r="AE116" s="4">
        <f>$K$116*$Y$116</f>
        <v>0</v>
      </c>
      <c r="AF116" s="4">
        <f ca="1">$M$116*$Z$116</f>
        <v>-97.997033548694418</v>
      </c>
      <c r="AG116" s="4">
        <f>$O$116*$AA$116</f>
        <v>-28.48212158097736</v>
      </c>
    </row>
    <row r="117" spans="1:33" ht="11.25" customHeight="1" x14ac:dyDescent="0.25">
      <c r="A117" s="3" t="s">
        <v>28</v>
      </c>
      <c r="B117" s="3" t="s">
        <v>22</v>
      </c>
      <c r="C117" s="3" t="s">
        <v>23</v>
      </c>
      <c r="D117" s="3" t="s">
        <v>24</v>
      </c>
      <c r="E117" s="3" t="s">
        <v>24</v>
      </c>
      <c r="F117" s="3" t="s">
        <v>25</v>
      </c>
      <c r="G117" s="3" t="s">
        <v>25</v>
      </c>
      <c r="H117" s="3" t="s">
        <v>25</v>
      </c>
      <c r="I117" s="6">
        <v>44501</v>
      </c>
      <c r="J117" s="4">
        <v>0</v>
      </c>
      <c r="K117" s="4">
        <v>0</v>
      </c>
      <c r="L117" s="4">
        <v>10.048999999999999</v>
      </c>
      <c r="M117" s="4">
        <v>10.048999999999999</v>
      </c>
      <c r="N117" s="4">
        <v>10.048999999999999</v>
      </c>
      <c r="O117" s="4">
        <v>10.048999999999999</v>
      </c>
      <c r="P117" s="4">
        <v>67</v>
      </c>
      <c r="Q117" s="3" t="s">
        <v>26</v>
      </c>
      <c r="R117" s="3">
        <v>0</v>
      </c>
      <c r="S117" s="4">
        <v>0</v>
      </c>
      <c r="T117" s="4">
        <v>20</v>
      </c>
      <c r="U117" s="4">
        <v>51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476.06</v>
      </c>
      <c r="X117" s="4">
        <f>IF(ISERROR(VLOOKUP($U$117,'TAR FIN'!$A$1:$O$88,15,0)),0,VLOOKUP($U$117,'TAR FIN'!$A$1:$O$88,15,0))</f>
        <v>165.21</v>
      </c>
      <c r="Y117" s="4"/>
      <c r="Z117" s="4">
        <f ca="1">('TUSD BE'!$AM$20+'TUSD BF'!$AM$20+'TUSD CVA'!$AM$20)*1</f>
        <v>529.7136948578077</v>
      </c>
      <c r="AA117" s="4">
        <f>('TE BE'!$AB$10+'TE BF'!$AB$10+'TE CVA'!$AB$10)*1</f>
        <v>153.95741395122897</v>
      </c>
      <c r="AB117" s="4">
        <f>$K$117*$V$117</f>
        <v>0</v>
      </c>
      <c r="AC117" s="4">
        <f>$M$117*$W$117</f>
        <v>4783.9269399999994</v>
      </c>
      <c r="AD117" s="4">
        <f>$O$117*$X$117</f>
        <v>1660.1952899999999</v>
      </c>
      <c r="AE117" s="4">
        <f>$K$117*$Y$117</f>
        <v>0</v>
      </c>
      <c r="AF117" s="4">
        <f ca="1">$M$117*$Z$117</f>
        <v>5323.0929196261095</v>
      </c>
      <c r="AG117" s="4">
        <f>$O$117*$AA$117</f>
        <v>1547.1180527958998</v>
      </c>
    </row>
    <row r="118" spans="1:33" ht="11.25" customHeight="1" x14ac:dyDescent="0.25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24</v>
      </c>
      <c r="F118" s="3" t="s">
        <v>25</v>
      </c>
      <c r="G118" s="3" t="s">
        <v>25</v>
      </c>
      <c r="H118" s="3" t="s">
        <v>25</v>
      </c>
      <c r="I118" s="6">
        <v>44531</v>
      </c>
      <c r="J118" s="4">
        <v>0</v>
      </c>
      <c r="K118" s="4">
        <v>0</v>
      </c>
      <c r="L118" s="4">
        <v>929.83199999999999</v>
      </c>
      <c r="M118" s="4">
        <v>929.83199999999999</v>
      </c>
      <c r="N118" s="4">
        <v>929.83199999999999</v>
      </c>
      <c r="O118" s="4">
        <v>929.83199999999999</v>
      </c>
      <c r="P118" s="4">
        <v>4413</v>
      </c>
      <c r="Q118" s="3" t="s">
        <v>26</v>
      </c>
      <c r="R118" s="3">
        <v>0</v>
      </c>
      <c r="S118" s="4">
        <v>0</v>
      </c>
      <c r="T118" s="4">
        <v>20</v>
      </c>
      <c r="U118" s="4">
        <v>51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476.06</v>
      </c>
      <c r="X118" s="4">
        <f>IF(ISERROR(VLOOKUP($U$118,'TAR FIN'!$A$1:$O$88,15,0)),0,VLOOKUP($U$118,'TAR FIN'!$A$1:$O$88,15,0))</f>
        <v>165.21</v>
      </c>
      <c r="Y118" s="4"/>
      <c r="Z118" s="4">
        <f ca="1">('TUSD BE'!$AM$20+'TUSD BF'!$AM$20+'TUSD CVA'!$AM$20)*1</f>
        <v>529.7136948578077</v>
      </c>
      <c r="AA118" s="4">
        <f>('TE BE'!$AB$10+'TE BF'!$AB$10+'TE CVA'!$AB$10)*1</f>
        <v>153.95741395122897</v>
      </c>
      <c r="AB118" s="4">
        <f>$K$118*$V$118</f>
        <v>0</v>
      </c>
      <c r="AC118" s="4">
        <f>$M$118*$W$118</f>
        <v>442655.82192000002</v>
      </c>
      <c r="AD118" s="4">
        <f>$O$118*$X$118</f>
        <v>153617.54472000001</v>
      </c>
      <c r="AE118" s="4">
        <f>$K$118*$Y$118</f>
        <v>0</v>
      </c>
      <c r="AF118" s="4">
        <f ca="1">$M$118*$Z$118</f>
        <v>492544.74431702506</v>
      </c>
      <c r="AG118" s="4">
        <f>$O$118*$AA$118</f>
        <v>143154.53012909915</v>
      </c>
    </row>
    <row r="119" spans="1:33" ht="11.25" customHeight="1" x14ac:dyDescent="0.25">
      <c r="A119" s="3" t="s">
        <v>27</v>
      </c>
      <c r="B119" s="3" t="s">
        <v>22</v>
      </c>
      <c r="C119" s="3" t="s">
        <v>23</v>
      </c>
      <c r="D119" s="3" t="s">
        <v>24</v>
      </c>
      <c r="E119" s="3" t="s">
        <v>24</v>
      </c>
      <c r="F119" s="3" t="s">
        <v>25</v>
      </c>
      <c r="G119" s="3" t="s">
        <v>25</v>
      </c>
      <c r="H119" s="3" t="s">
        <v>25</v>
      </c>
      <c r="I119" s="6">
        <v>44531</v>
      </c>
      <c r="J119" s="4">
        <v>0</v>
      </c>
      <c r="K119" s="4">
        <v>0</v>
      </c>
      <c r="L119" s="4">
        <v>-0.21099999999999999</v>
      </c>
      <c r="M119" s="4">
        <v>-0.21099999999999999</v>
      </c>
      <c r="N119" s="4">
        <v>-0.21099999999999999</v>
      </c>
      <c r="O119" s="4">
        <v>-0.21099999999999999</v>
      </c>
      <c r="P119" s="4">
        <v>0</v>
      </c>
      <c r="Q119" s="3" t="s">
        <v>26</v>
      </c>
      <c r="R119" s="3">
        <v>0</v>
      </c>
      <c r="S119" s="4">
        <v>0</v>
      </c>
      <c r="T119" s="4">
        <v>20</v>
      </c>
      <c r="U119" s="4">
        <v>51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476.06</v>
      </c>
      <c r="X119" s="4">
        <f>IF(ISERROR(VLOOKUP($U$119,'TAR FIN'!$A$1:$O$88,15,0)),0,VLOOKUP($U$119,'TAR FIN'!$A$1:$O$88,15,0))</f>
        <v>165.21</v>
      </c>
      <c r="Y119" s="4"/>
      <c r="Z119" s="4">
        <f ca="1">('TUSD BE'!$AM$20+'TUSD BF'!$AM$20+'TUSD CVA'!$AM$20)*1</f>
        <v>529.7136948578077</v>
      </c>
      <c r="AA119" s="4">
        <f>('TE BE'!$AB$10+'TE BF'!$AB$10+'TE CVA'!$AB$10)*1</f>
        <v>153.95741395122897</v>
      </c>
      <c r="AB119" s="4">
        <f>$K$119*$V$119</f>
        <v>0</v>
      </c>
      <c r="AC119" s="4">
        <f>$M$119*$W$119</f>
        <v>-100.44866</v>
      </c>
      <c r="AD119" s="4">
        <f>$O$119*$X$119</f>
        <v>-34.859310000000001</v>
      </c>
      <c r="AE119" s="4">
        <f>$K$119*$Y$119</f>
        <v>0</v>
      </c>
      <c r="AF119" s="4">
        <f ca="1">$M$119*$Z$119</f>
        <v>-111.76958961499741</v>
      </c>
      <c r="AG119" s="4">
        <f>$O$119*$AA$119</f>
        <v>-32.48501434370931</v>
      </c>
    </row>
    <row r="120" spans="1:33" ht="11.25" customHeight="1" x14ac:dyDescent="0.25">
      <c r="A120" s="3" t="s">
        <v>28</v>
      </c>
      <c r="B120" s="3" t="s">
        <v>22</v>
      </c>
      <c r="C120" s="3" t="s">
        <v>23</v>
      </c>
      <c r="D120" s="3" t="s">
        <v>24</v>
      </c>
      <c r="E120" s="3" t="s">
        <v>24</v>
      </c>
      <c r="F120" s="3" t="s">
        <v>25</v>
      </c>
      <c r="G120" s="3" t="s">
        <v>25</v>
      </c>
      <c r="H120" s="3" t="s">
        <v>25</v>
      </c>
      <c r="I120" s="6">
        <v>44531</v>
      </c>
      <c r="J120" s="4">
        <v>0</v>
      </c>
      <c r="K120" s="4">
        <v>0</v>
      </c>
      <c r="L120" s="4">
        <v>10.661</v>
      </c>
      <c r="M120" s="4">
        <v>10.661</v>
      </c>
      <c r="N120" s="4">
        <v>10.661</v>
      </c>
      <c r="O120" s="4">
        <v>10.661</v>
      </c>
      <c r="P120" s="4">
        <v>74</v>
      </c>
      <c r="Q120" s="3" t="s">
        <v>26</v>
      </c>
      <c r="R120" s="3">
        <v>0</v>
      </c>
      <c r="S120" s="4">
        <v>0</v>
      </c>
      <c r="T120" s="4">
        <v>20</v>
      </c>
      <c r="U120" s="4">
        <v>51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476.06</v>
      </c>
      <c r="X120" s="4">
        <f>IF(ISERROR(VLOOKUP($U$120,'TAR FIN'!$A$1:$O$88,15,0)),0,VLOOKUP($U$120,'TAR FIN'!$A$1:$O$88,15,0))</f>
        <v>165.21</v>
      </c>
      <c r="Y120" s="4"/>
      <c r="Z120" s="4">
        <f ca="1">('TUSD BE'!$AM$20+'TUSD BF'!$AM$20+'TUSD CVA'!$AM$20)*1</f>
        <v>529.7136948578077</v>
      </c>
      <c r="AA120" s="4">
        <f>('TE BE'!$AB$10+'TE BF'!$AB$10+'TE CVA'!$AB$10)*1</f>
        <v>153.95741395122897</v>
      </c>
      <c r="AB120" s="4">
        <f>$K$120*$V$120</f>
        <v>0</v>
      </c>
      <c r="AC120" s="4">
        <f>$M$120*$W$120</f>
        <v>5075.2756600000002</v>
      </c>
      <c r="AD120" s="4">
        <f>$O$120*$X$120</f>
        <v>1761.3038100000001</v>
      </c>
      <c r="AE120" s="4">
        <f>$K$120*$Y$120</f>
        <v>0</v>
      </c>
      <c r="AF120" s="4">
        <f ca="1">$M$120*$Z$120</f>
        <v>5647.2777008790872</v>
      </c>
      <c r="AG120" s="4">
        <f>$O$120*$AA$120</f>
        <v>1641.339990134052</v>
      </c>
    </row>
    <row r="121" spans="1:33" ht="11.25" customHeight="1" x14ac:dyDescent="0.25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24</v>
      </c>
      <c r="F121" s="3" t="s">
        <v>25</v>
      </c>
      <c r="G121" s="3" t="s">
        <v>25</v>
      </c>
      <c r="H121" s="3" t="s">
        <v>25</v>
      </c>
      <c r="I121" s="6">
        <v>44562</v>
      </c>
      <c r="J121" s="4">
        <v>0</v>
      </c>
      <c r="K121" s="4">
        <v>0</v>
      </c>
      <c r="L121" s="4">
        <v>1074.8579999999999</v>
      </c>
      <c r="M121" s="4">
        <v>1074.8579999999999</v>
      </c>
      <c r="N121" s="4">
        <v>1074.8579999999999</v>
      </c>
      <c r="O121" s="4">
        <v>1074.8579999999999</v>
      </c>
      <c r="P121" s="4">
        <v>4419</v>
      </c>
      <c r="Q121" s="3" t="s">
        <v>26</v>
      </c>
      <c r="R121" s="3">
        <v>0</v>
      </c>
      <c r="S121" s="4">
        <v>0</v>
      </c>
      <c r="T121" s="4">
        <v>20</v>
      </c>
      <c r="U121" s="4">
        <v>51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476.06</v>
      </c>
      <c r="X121" s="4">
        <f>IF(ISERROR(VLOOKUP($U$121,'TAR FIN'!$A$1:$O$88,15,0)),0,VLOOKUP($U$121,'TAR FIN'!$A$1:$O$88,15,0))</f>
        <v>165.21</v>
      </c>
      <c r="Y121" s="4"/>
      <c r="Z121" s="4">
        <f ca="1">('TUSD BE'!$AM$20+'TUSD BF'!$AM$20+'TUSD CVA'!$AM$20)*1</f>
        <v>529.7136948578077</v>
      </c>
      <c r="AA121" s="4">
        <f>('TE BE'!$AB$10+'TE BF'!$AB$10+'TE CVA'!$AB$10)*1</f>
        <v>153.95741395122897</v>
      </c>
      <c r="AB121" s="4">
        <f>$K$121*$V$121</f>
        <v>0</v>
      </c>
      <c r="AC121" s="4">
        <f>$M$121*$W$121</f>
        <v>511696.89947999996</v>
      </c>
      <c r="AD121" s="4">
        <f>$O$121*$X$121</f>
        <v>177577.29018000001</v>
      </c>
      <c r="AE121" s="4">
        <f>$K$121*$Y$121</f>
        <v>0</v>
      </c>
      <c r="AF121" s="4">
        <f ca="1">$M$121*$Z$121</f>
        <v>569367.00262747344</v>
      </c>
      <c r="AG121" s="4">
        <f>$O$121*$AA$121</f>
        <v>165482.35804479007</v>
      </c>
    </row>
    <row r="122" spans="1:33" ht="11.25" customHeight="1" x14ac:dyDescent="0.25">
      <c r="A122" s="3" t="s">
        <v>27</v>
      </c>
      <c r="B122" s="3" t="s">
        <v>22</v>
      </c>
      <c r="C122" s="3" t="s">
        <v>23</v>
      </c>
      <c r="D122" s="3" t="s">
        <v>24</v>
      </c>
      <c r="E122" s="3" t="s">
        <v>24</v>
      </c>
      <c r="F122" s="3" t="s">
        <v>25</v>
      </c>
      <c r="G122" s="3" t="s">
        <v>25</v>
      </c>
      <c r="H122" s="3" t="s">
        <v>25</v>
      </c>
      <c r="I122" s="6">
        <v>44562</v>
      </c>
      <c r="J122" s="4">
        <v>0</v>
      </c>
      <c r="K122" s="4">
        <v>0</v>
      </c>
      <c r="L122" s="4">
        <v>-0.26900000000000002</v>
      </c>
      <c r="M122" s="4">
        <v>-0.26900000000000002</v>
      </c>
      <c r="N122" s="4">
        <v>-0.26900000000000002</v>
      </c>
      <c r="O122" s="4">
        <v>-0.26900000000000002</v>
      </c>
      <c r="P122" s="4">
        <v>0</v>
      </c>
      <c r="Q122" s="3" t="s">
        <v>26</v>
      </c>
      <c r="R122" s="3">
        <v>0</v>
      </c>
      <c r="S122" s="4">
        <v>0</v>
      </c>
      <c r="T122" s="4">
        <v>20</v>
      </c>
      <c r="U122" s="4">
        <v>51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476.06</v>
      </c>
      <c r="X122" s="4">
        <f>IF(ISERROR(VLOOKUP($U$122,'TAR FIN'!$A$1:$O$88,15,0)),0,VLOOKUP($U$122,'TAR FIN'!$A$1:$O$88,15,0))</f>
        <v>165.21</v>
      </c>
      <c r="Y122" s="4"/>
      <c r="Z122" s="4">
        <f ca="1">('TUSD BE'!$AM$20+'TUSD BF'!$AM$20+'TUSD CVA'!$AM$20)*1</f>
        <v>529.7136948578077</v>
      </c>
      <c r="AA122" s="4">
        <f>('TE BE'!$AB$10+'TE BF'!$AB$10+'TE CVA'!$AB$10)*1</f>
        <v>153.95741395122897</v>
      </c>
      <c r="AB122" s="4">
        <f>$K$122*$V$122</f>
        <v>0</v>
      </c>
      <c r="AC122" s="4">
        <f>$M$122*$W$122</f>
        <v>-128.06014000000002</v>
      </c>
      <c r="AD122" s="4">
        <f>$O$122*$X$122</f>
        <v>-44.441490000000002</v>
      </c>
      <c r="AE122" s="4">
        <f>$K$122*$Y$122</f>
        <v>0</v>
      </c>
      <c r="AF122" s="4">
        <f ca="1">$M$122*$Z$122</f>
        <v>-142.49298391675029</v>
      </c>
      <c r="AG122" s="4">
        <f>$O$122*$AA$122</f>
        <v>-41.414544352880597</v>
      </c>
    </row>
    <row r="123" spans="1:33" ht="11.25" customHeight="1" x14ac:dyDescent="0.25">
      <c r="A123" s="3" t="s">
        <v>28</v>
      </c>
      <c r="B123" s="3" t="s">
        <v>22</v>
      </c>
      <c r="C123" s="3" t="s">
        <v>23</v>
      </c>
      <c r="D123" s="3" t="s">
        <v>24</v>
      </c>
      <c r="E123" s="3" t="s">
        <v>24</v>
      </c>
      <c r="F123" s="3" t="s">
        <v>25</v>
      </c>
      <c r="G123" s="3" t="s">
        <v>25</v>
      </c>
      <c r="H123" s="3" t="s">
        <v>25</v>
      </c>
      <c r="I123" s="6">
        <v>44562</v>
      </c>
      <c r="J123" s="4">
        <v>0</v>
      </c>
      <c r="K123" s="4">
        <v>0</v>
      </c>
      <c r="L123" s="4">
        <v>11.298999999999999</v>
      </c>
      <c r="M123" s="4">
        <v>11.298999999999999</v>
      </c>
      <c r="N123" s="4">
        <v>11.298999999999999</v>
      </c>
      <c r="O123" s="4">
        <v>11.298999999999999</v>
      </c>
      <c r="P123" s="4">
        <v>76</v>
      </c>
      <c r="Q123" s="3" t="s">
        <v>26</v>
      </c>
      <c r="R123" s="3">
        <v>0</v>
      </c>
      <c r="S123" s="4">
        <v>0</v>
      </c>
      <c r="T123" s="4">
        <v>20</v>
      </c>
      <c r="U123" s="4">
        <v>51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476.06</v>
      </c>
      <c r="X123" s="4">
        <f>IF(ISERROR(VLOOKUP($U$123,'TAR FIN'!$A$1:$O$88,15,0)),0,VLOOKUP($U$123,'TAR FIN'!$A$1:$O$88,15,0))</f>
        <v>165.21</v>
      </c>
      <c r="Y123" s="4"/>
      <c r="Z123" s="4">
        <f ca="1">('TUSD BE'!$AM$20+'TUSD BF'!$AM$20+'TUSD CVA'!$AM$20)*1</f>
        <v>529.7136948578077</v>
      </c>
      <c r="AA123" s="4">
        <f>('TE BE'!$AB$10+'TE BF'!$AB$10+'TE CVA'!$AB$10)*1</f>
        <v>153.95741395122897</v>
      </c>
      <c r="AB123" s="4">
        <f>$K$123*$V$123</f>
        <v>0</v>
      </c>
      <c r="AC123" s="4">
        <f>$M$123*$W$123</f>
        <v>5379.0019400000001</v>
      </c>
      <c r="AD123" s="4">
        <f>$O$123*$X$123</f>
        <v>1866.7077899999999</v>
      </c>
      <c r="AE123" s="4">
        <f>$K$123*$Y$123</f>
        <v>0</v>
      </c>
      <c r="AF123" s="4">
        <f ca="1">$M$123*$Z$123</f>
        <v>5985.2350381983688</v>
      </c>
      <c r="AG123" s="4">
        <f>$O$123*$AA$123</f>
        <v>1739.5648202349362</v>
      </c>
    </row>
    <row r="124" spans="1:33" ht="11.25" customHeight="1" x14ac:dyDescent="0.25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24</v>
      </c>
      <c r="F124" s="3" t="s">
        <v>25</v>
      </c>
      <c r="G124" s="3" t="s">
        <v>25</v>
      </c>
      <c r="H124" s="3" t="s">
        <v>25</v>
      </c>
      <c r="I124" s="6">
        <v>44593</v>
      </c>
      <c r="J124" s="4">
        <v>0</v>
      </c>
      <c r="K124" s="4">
        <v>0</v>
      </c>
      <c r="L124" s="4">
        <v>872.83299999999997</v>
      </c>
      <c r="M124" s="4">
        <v>872.83299999999997</v>
      </c>
      <c r="N124" s="4">
        <v>872.83299999999997</v>
      </c>
      <c r="O124" s="4">
        <v>872.83299999999997</v>
      </c>
      <c r="P124" s="4">
        <v>4239</v>
      </c>
      <c r="Q124" s="3" t="s">
        <v>26</v>
      </c>
      <c r="R124" s="3">
        <v>0</v>
      </c>
      <c r="S124" s="4">
        <v>0</v>
      </c>
      <c r="T124" s="4">
        <v>20</v>
      </c>
      <c r="U124" s="4">
        <v>51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476.06</v>
      </c>
      <c r="X124" s="4">
        <f>IF(ISERROR(VLOOKUP($U$124,'TAR FIN'!$A$1:$O$88,15,0)),0,VLOOKUP($U$124,'TAR FIN'!$A$1:$O$88,15,0))</f>
        <v>165.21</v>
      </c>
      <c r="Y124" s="4"/>
      <c r="Z124" s="4">
        <f ca="1">('TUSD BE'!$AM$20+'TUSD BF'!$AM$20+'TUSD CVA'!$AM$20)*1</f>
        <v>529.7136948578077</v>
      </c>
      <c r="AA124" s="4">
        <f>('TE BE'!$AB$10+'TE BF'!$AB$10+'TE CVA'!$AB$10)*1</f>
        <v>153.95741395122897</v>
      </c>
      <c r="AB124" s="4">
        <f>$K$124*$V$124</f>
        <v>0</v>
      </c>
      <c r="AC124" s="4">
        <f>$M$124*$W$124</f>
        <v>415520.87797999999</v>
      </c>
      <c r="AD124" s="4">
        <f>$O$124*$X$124</f>
        <v>144200.73993000001</v>
      </c>
      <c r="AE124" s="4">
        <f>$K$124*$Y$124</f>
        <v>0</v>
      </c>
      <c r="AF124" s="4">
        <f ca="1">$M$124*$Z$124</f>
        <v>462351.59342382487</v>
      </c>
      <c r="AG124" s="4">
        <f>$O$124*$AA$124</f>
        <v>134379.11149129304</v>
      </c>
    </row>
    <row r="125" spans="1:33" ht="11.25" customHeight="1" x14ac:dyDescent="0.25">
      <c r="A125" s="3" t="s">
        <v>27</v>
      </c>
      <c r="B125" s="3" t="s">
        <v>22</v>
      </c>
      <c r="C125" s="3" t="s">
        <v>23</v>
      </c>
      <c r="D125" s="3" t="s">
        <v>24</v>
      </c>
      <c r="E125" s="3" t="s">
        <v>24</v>
      </c>
      <c r="F125" s="3" t="s">
        <v>25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-0.16500000000000001</v>
      </c>
      <c r="M125" s="4">
        <v>-0.16500000000000001</v>
      </c>
      <c r="N125" s="4">
        <v>-0.16500000000000001</v>
      </c>
      <c r="O125" s="4">
        <v>-0.16500000000000001</v>
      </c>
      <c r="P125" s="4">
        <v>0</v>
      </c>
      <c r="Q125" s="3" t="s">
        <v>26</v>
      </c>
      <c r="R125" s="3">
        <v>0</v>
      </c>
      <c r="S125" s="4">
        <v>0</v>
      </c>
      <c r="T125" s="4">
        <v>20</v>
      </c>
      <c r="U125" s="4">
        <v>51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476.06</v>
      </c>
      <c r="X125" s="4">
        <f>IF(ISERROR(VLOOKUP($U$125,'TAR FIN'!$A$1:$O$88,15,0)),0,VLOOKUP($U$125,'TAR FIN'!$A$1:$O$88,15,0))</f>
        <v>165.21</v>
      </c>
      <c r="Y125" s="4"/>
      <c r="Z125" s="4">
        <f ca="1">('TUSD BE'!$AM$20+'TUSD BF'!$AM$20+'TUSD CVA'!$AM$20)*1</f>
        <v>529.7136948578077</v>
      </c>
      <c r="AA125" s="4">
        <f>('TE BE'!$AB$10+'TE BF'!$AB$10+'TE CVA'!$AB$10)*1</f>
        <v>153.95741395122897</v>
      </c>
      <c r="AB125" s="4">
        <f>$K$125*$V$125</f>
        <v>0</v>
      </c>
      <c r="AC125" s="4">
        <f>$M$125*$W$125</f>
        <v>-78.549900000000008</v>
      </c>
      <c r="AD125" s="4">
        <f>$O$125*$X$125</f>
        <v>-27.259650000000004</v>
      </c>
      <c r="AE125" s="4">
        <f>$K$125*$Y$125</f>
        <v>0</v>
      </c>
      <c r="AF125" s="4">
        <f ca="1">$M$125*$Z$125</f>
        <v>-87.402759651538275</v>
      </c>
      <c r="AG125" s="4">
        <f>$O$125*$AA$125</f>
        <v>-25.40297330195278</v>
      </c>
    </row>
    <row r="126" spans="1:33" ht="11.25" customHeight="1" x14ac:dyDescent="0.25">
      <c r="A126" s="3" t="s">
        <v>28</v>
      </c>
      <c r="B126" s="3" t="s">
        <v>22</v>
      </c>
      <c r="C126" s="3" t="s">
        <v>23</v>
      </c>
      <c r="D126" s="3" t="s">
        <v>24</v>
      </c>
      <c r="E126" s="3" t="s">
        <v>24</v>
      </c>
      <c r="F126" s="3" t="s">
        <v>25</v>
      </c>
      <c r="G126" s="3" t="s">
        <v>25</v>
      </c>
      <c r="H126" s="3" t="s">
        <v>25</v>
      </c>
      <c r="I126" s="6">
        <v>44593</v>
      </c>
      <c r="J126" s="4">
        <v>0</v>
      </c>
      <c r="K126" s="4">
        <v>0</v>
      </c>
      <c r="L126" s="4">
        <v>9.9290000000000003</v>
      </c>
      <c r="M126" s="4">
        <v>9.9290000000000003</v>
      </c>
      <c r="N126" s="4">
        <v>9.9290000000000003</v>
      </c>
      <c r="O126" s="4">
        <v>9.9290000000000003</v>
      </c>
      <c r="P126" s="4">
        <v>82</v>
      </c>
      <c r="Q126" s="3" t="s">
        <v>26</v>
      </c>
      <c r="R126" s="3">
        <v>0</v>
      </c>
      <c r="S126" s="4">
        <v>0</v>
      </c>
      <c r="T126" s="4">
        <v>20</v>
      </c>
      <c r="U126" s="4">
        <v>51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476.06</v>
      </c>
      <c r="X126" s="4">
        <f>IF(ISERROR(VLOOKUP($U$126,'TAR FIN'!$A$1:$O$88,15,0)),0,VLOOKUP($U$126,'TAR FIN'!$A$1:$O$88,15,0))</f>
        <v>165.21</v>
      </c>
      <c r="Y126" s="4"/>
      <c r="Z126" s="4">
        <f ca="1">('TUSD BE'!$AM$20+'TUSD BF'!$AM$20+'TUSD CVA'!$AM$20)*1</f>
        <v>529.7136948578077</v>
      </c>
      <c r="AA126" s="4">
        <f>('TE BE'!$AB$10+'TE BF'!$AB$10+'TE CVA'!$AB$10)*1</f>
        <v>153.95741395122897</v>
      </c>
      <c r="AB126" s="4">
        <f>$K$126*$V$126</f>
        <v>0</v>
      </c>
      <c r="AC126" s="4">
        <f>$M$126*$W$126</f>
        <v>4726.7997400000004</v>
      </c>
      <c r="AD126" s="4">
        <f>$O$126*$X$126</f>
        <v>1640.3700900000001</v>
      </c>
      <c r="AE126" s="4">
        <f>$K$126*$Y$126</f>
        <v>0</v>
      </c>
      <c r="AF126" s="4">
        <f ca="1">$M$126*$Z$126</f>
        <v>5259.5272762431723</v>
      </c>
      <c r="AG126" s="4">
        <f>$O$126*$AA$126</f>
        <v>1528.6431631217524</v>
      </c>
    </row>
    <row r="127" spans="1:33" ht="11.25" customHeight="1" x14ac:dyDescent="0.25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24</v>
      </c>
      <c r="F127" s="3" t="s">
        <v>25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892.02800000000002</v>
      </c>
      <c r="M127" s="4">
        <v>892.02800000000002</v>
      </c>
      <c r="N127" s="4">
        <v>892.02800000000002</v>
      </c>
      <c r="O127" s="4">
        <v>892.02800000000002</v>
      </c>
      <c r="P127" s="4">
        <v>4216</v>
      </c>
      <c r="Q127" s="3" t="s">
        <v>26</v>
      </c>
      <c r="R127" s="3">
        <v>0</v>
      </c>
      <c r="S127" s="4">
        <v>0</v>
      </c>
      <c r="T127" s="4">
        <v>20</v>
      </c>
      <c r="U127" s="4">
        <v>51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476.06</v>
      </c>
      <c r="X127" s="4">
        <f>IF(ISERROR(VLOOKUP($U$127,'TAR FIN'!$A$1:$O$88,15,0)),0,VLOOKUP($U$127,'TAR FIN'!$A$1:$O$88,15,0))</f>
        <v>165.21</v>
      </c>
      <c r="Y127" s="4"/>
      <c r="Z127" s="4">
        <f ca="1">('TUSD BE'!$AM$20+'TUSD BF'!$AM$20+'TUSD CVA'!$AM$20)*1</f>
        <v>529.7136948578077</v>
      </c>
      <c r="AA127" s="4">
        <f>('TE BE'!$AB$10+'TE BF'!$AB$10+'TE CVA'!$AB$10)*1</f>
        <v>153.95741395122897</v>
      </c>
      <c r="AB127" s="4">
        <f>$K$127*$V$127</f>
        <v>0</v>
      </c>
      <c r="AC127" s="4">
        <f>$M$127*$W$127</f>
        <v>424658.84967999998</v>
      </c>
      <c r="AD127" s="4">
        <f>$O$127*$X$127</f>
        <v>147371.94588000001</v>
      </c>
      <c r="AE127" s="4">
        <f>$K$127*$Y$127</f>
        <v>0</v>
      </c>
      <c r="AF127" s="4">
        <f ca="1">$M$127*$Z$127</f>
        <v>472519.44779662049</v>
      </c>
      <c r="AG127" s="4">
        <f>$O$127*$AA$127</f>
        <v>137334.32405208689</v>
      </c>
    </row>
    <row r="128" spans="1:33" ht="11.25" customHeight="1" x14ac:dyDescent="0.25">
      <c r="A128" s="3" t="s">
        <v>28</v>
      </c>
      <c r="B128" s="3" t="s">
        <v>22</v>
      </c>
      <c r="C128" s="3" t="s">
        <v>23</v>
      </c>
      <c r="D128" s="3" t="s">
        <v>24</v>
      </c>
      <c r="E128" s="3" t="s">
        <v>24</v>
      </c>
      <c r="F128" s="3" t="s">
        <v>25</v>
      </c>
      <c r="G128" s="3" t="s">
        <v>25</v>
      </c>
      <c r="H128" s="3" t="s">
        <v>25</v>
      </c>
      <c r="I128" s="6">
        <v>44621</v>
      </c>
      <c r="J128" s="4">
        <v>0</v>
      </c>
      <c r="K128" s="4">
        <v>0</v>
      </c>
      <c r="L128" s="4">
        <v>15.045</v>
      </c>
      <c r="M128" s="4">
        <v>15.045</v>
      </c>
      <c r="N128" s="4">
        <v>15.045</v>
      </c>
      <c r="O128" s="4">
        <v>15.045</v>
      </c>
      <c r="P128" s="4">
        <v>88</v>
      </c>
      <c r="Q128" s="3" t="s">
        <v>26</v>
      </c>
      <c r="R128" s="3">
        <v>0</v>
      </c>
      <c r="S128" s="4">
        <v>0</v>
      </c>
      <c r="T128" s="4">
        <v>20</v>
      </c>
      <c r="U128" s="4">
        <v>51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476.06</v>
      </c>
      <c r="X128" s="4">
        <f>IF(ISERROR(VLOOKUP($U$128,'TAR FIN'!$A$1:$O$88,15,0)),0,VLOOKUP($U$128,'TAR FIN'!$A$1:$O$88,15,0))</f>
        <v>165.21</v>
      </c>
      <c r="Y128" s="4"/>
      <c r="Z128" s="4">
        <f ca="1">('TUSD BE'!$AM$20+'TUSD BF'!$AM$20+'TUSD CVA'!$AM$20)*1</f>
        <v>529.7136948578077</v>
      </c>
      <c r="AA128" s="4">
        <f>('TE BE'!$AB$10+'TE BF'!$AB$10+'TE CVA'!$AB$10)*1</f>
        <v>153.95741395122897</v>
      </c>
      <c r="AB128" s="4">
        <f>$K$128*$V$128</f>
        <v>0</v>
      </c>
      <c r="AC128" s="4">
        <f>$M$128*$W$128</f>
        <v>7162.3226999999997</v>
      </c>
      <c r="AD128" s="4">
        <f>$O$128*$X$128</f>
        <v>2485.5844500000003</v>
      </c>
      <c r="AE128" s="4">
        <f>$K$128*$Y$128</f>
        <v>0</v>
      </c>
      <c r="AF128" s="4">
        <f ca="1">$M$128*$Z$128</f>
        <v>7969.5425391357167</v>
      </c>
      <c r="AG128" s="4">
        <f>$O$128*$AA$128</f>
        <v>2316.2892928962397</v>
      </c>
    </row>
    <row r="129" spans="1:33" ht="11.25" customHeight="1" x14ac:dyDescent="0.25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24</v>
      </c>
      <c r="F129" s="3" t="s">
        <v>25</v>
      </c>
      <c r="G129" s="3" t="s">
        <v>25</v>
      </c>
      <c r="H129" s="3" t="s">
        <v>25</v>
      </c>
      <c r="I129" s="6">
        <v>44652</v>
      </c>
      <c r="J129" s="4">
        <v>0</v>
      </c>
      <c r="K129" s="4">
        <v>0</v>
      </c>
      <c r="L129" s="4">
        <v>788.63800000000003</v>
      </c>
      <c r="M129" s="4">
        <v>788.63800000000003</v>
      </c>
      <c r="N129" s="4">
        <v>788.63800000000003</v>
      </c>
      <c r="O129" s="4">
        <v>788.63800000000003</v>
      </c>
      <c r="P129" s="4">
        <v>4246</v>
      </c>
      <c r="Q129" s="3" t="s">
        <v>26</v>
      </c>
      <c r="R129" s="3">
        <v>0</v>
      </c>
      <c r="S129" s="4">
        <v>0</v>
      </c>
      <c r="T129" s="4">
        <v>20</v>
      </c>
      <c r="U129" s="4">
        <v>51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476.06</v>
      </c>
      <c r="X129" s="4">
        <f>IF(ISERROR(VLOOKUP($U$129,'TAR FIN'!$A$1:$O$88,15,0)),0,VLOOKUP($U$129,'TAR FIN'!$A$1:$O$88,15,0))</f>
        <v>165.21</v>
      </c>
      <c r="Y129" s="4"/>
      <c r="Z129" s="4">
        <f ca="1">('TUSD BE'!$AM$20+'TUSD BF'!$AM$20+'TUSD CVA'!$AM$20)*1</f>
        <v>529.7136948578077</v>
      </c>
      <c r="AA129" s="4">
        <f>('TE BE'!$AB$10+'TE BF'!$AB$10+'TE CVA'!$AB$10)*1</f>
        <v>153.95741395122897</v>
      </c>
      <c r="AB129" s="4">
        <f>$K$129*$V$129</f>
        <v>0</v>
      </c>
      <c r="AC129" s="4">
        <f>$M$129*$W$129</f>
        <v>375439.00628000003</v>
      </c>
      <c r="AD129" s="4">
        <f>$O$129*$X$129</f>
        <v>130290.88398000001</v>
      </c>
      <c r="AE129" s="4">
        <f>$K$129*$Y$129</f>
        <v>0</v>
      </c>
      <c r="AF129" s="4">
        <f ca="1">$M$129*$Z$129</f>
        <v>417752.34888527176</v>
      </c>
      <c r="AG129" s="4">
        <f>$O$129*$AA$129</f>
        <v>121416.66702366932</v>
      </c>
    </row>
    <row r="130" spans="1:33" ht="11.25" customHeight="1" x14ac:dyDescent="0.25">
      <c r="A130" s="3" t="s">
        <v>27</v>
      </c>
      <c r="B130" s="3" t="s">
        <v>22</v>
      </c>
      <c r="C130" s="3" t="s">
        <v>23</v>
      </c>
      <c r="D130" s="3" t="s">
        <v>24</v>
      </c>
      <c r="E130" s="3" t="s">
        <v>24</v>
      </c>
      <c r="F130" s="3" t="s">
        <v>25</v>
      </c>
      <c r="G130" s="3" t="s">
        <v>25</v>
      </c>
      <c r="H130" s="3" t="s">
        <v>25</v>
      </c>
      <c r="I130" s="6">
        <v>44652</v>
      </c>
      <c r="J130" s="4">
        <v>0</v>
      </c>
      <c r="K130" s="4">
        <v>0</v>
      </c>
      <c r="L130" s="4">
        <v>-0.25600000000000001</v>
      </c>
      <c r="M130" s="4">
        <v>-0.25600000000000001</v>
      </c>
      <c r="N130" s="4">
        <v>-0.25600000000000001</v>
      </c>
      <c r="O130" s="4">
        <v>-0.25600000000000001</v>
      </c>
      <c r="P130" s="4">
        <v>0</v>
      </c>
      <c r="Q130" s="3" t="s">
        <v>26</v>
      </c>
      <c r="R130" s="3">
        <v>0</v>
      </c>
      <c r="S130" s="4">
        <v>0</v>
      </c>
      <c r="T130" s="4">
        <v>20</v>
      </c>
      <c r="U130" s="4">
        <v>51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476.06</v>
      </c>
      <c r="X130" s="4">
        <f>IF(ISERROR(VLOOKUP($U$130,'TAR FIN'!$A$1:$O$88,15,0)),0,VLOOKUP($U$130,'TAR FIN'!$A$1:$O$88,15,0))</f>
        <v>165.21</v>
      </c>
      <c r="Y130" s="4"/>
      <c r="Z130" s="4">
        <f ca="1">('TUSD BE'!$AM$20+'TUSD BF'!$AM$20+'TUSD CVA'!$AM$20)*1</f>
        <v>529.7136948578077</v>
      </c>
      <c r="AA130" s="4">
        <f>('TE BE'!$AB$10+'TE BF'!$AB$10+'TE CVA'!$AB$10)*1</f>
        <v>153.95741395122897</v>
      </c>
      <c r="AB130" s="4">
        <f>$K$130*$V$130</f>
        <v>0</v>
      </c>
      <c r="AC130" s="4">
        <f>$M$130*$W$130</f>
        <v>-121.87136000000001</v>
      </c>
      <c r="AD130" s="4">
        <f>$O$130*$X$130</f>
        <v>-42.293760000000006</v>
      </c>
      <c r="AE130" s="4">
        <f>$K$130*$Y$130</f>
        <v>0</v>
      </c>
      <c r="AF130" s="4">
        <f ca="1">$M$130*$Z$130</f>
        <v>-135.60670588359878</v>
      </c>
      <c r="AG130" s="4">
        <f>$O$130*$AA$130</f>
        <v>-39.413097971514617</v>
      </c>
    </row>
    <row r="131" spans="1:33" ht="11.25" customHeight="1" x14ac:dyDescent="0.25">
      <c r="A131" s="3" t="s">
        <v>28</v>
      </c>
      <c r="B131" s="3" t="s">
        <v>22</v>
      </c>
      <c r="C131" s="3" t="s">
        <v>23</v>
      </c>
      <c r="D131" s="3" t="s">
        <v>24</v>
      </c>
      <c r="E131" s="3" t="s">
        <v>24</v>
      </c>
      <c r="F131" s="3" t="s">
        <v>25</v>
      </c>
      <c r="G131" s="3" t="s">
        <v>25</v>
      </c>
      <c r="H131" s="3" t="s">
        <v>25</v>
      </c>
      <c r="I131" s="6">
        <v>44652</v>
      </c>
      <c r="J131" s="4">
        <v>0</v>
      </c>
      <c r="K131" s="4">
        <v>0</v>
      </c>
      <c r="L131" s="4">
        <v>11.39</v>
      </c>
      <c r="M131" s="4">
        <v>11.39</v>
      </c>
      <c r="N131" s="4">
        <v>11.39</v>
      </c>
      <c r="O131" s="4">
        <v>11.39</v>
      </c>
      <c r="P131" s="4">
        <v>87</v>
      </c>
      <c r="Q131" s="3" t="s">
        <v>26</v>
      </c>
      <c r="R131" s="3">
        <v>0</v>
      </c>
      <c r="S131" s="4">
        <v>0</v>
      </c>
      <c r="T131" s="4">
        <v>20</v>
      </c>
      <c r="U131" s="4">
        <v>51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476.06</v>
      </c>
      <c r="X131" s="4">
        <f>IF(ISERROR(VLOOKUP($U$131,'TAR FIN'!$A$1:$O$88,15,0)),0,VLOOKUP($U$131,'TAR FIN'!$A$1:$O$88,15,0))</f>
        <v>165.21</v>
      </c>
      <c r="Y131" s="4"/>
      <c r="Z131" s="4">
        <f ca="1">('TUSD BE'!$AM$20+'TUSD BF'!$AM$20+'TUSD CVA'!$AM$20)*1</f>
        <v>529.7136948578077</v>
      </c>
      <c r="AA131" s="4">
        <f>('TE BE'!$AB$10+'TE BF'!$AB$10+'TE CVA'!$AB$10)*1</f>
        <v>153.95741395122897</v>
      </c>
      <c r="AB131" s="4">
        <f>$K$131*$V$131</f>
        <v>0</v>
      </c>
      <c r="AC131" s="4">
        <f>$M$131*$W$131</f>
        <v>5422.3234000000002</v>
      </c>
      <c r="AD131" s="4">
        <f>$O$131*$X$131</f>
        <v>1881.7419000000002</v>
      </c>
      <c r="AE131" s="4">
        <f>$K$131*$Y$131</f>
        <v>0</v>
      </c>
      <c r="AF131" s="4">
        <f ca="1">$M$131*$Z$131</f>
        <v>6033.4389844304296</v>
      </c>
      <c r="AG131" s="4">
        <f>$O$131*$AA$131</f>
        <v>1753.5749449044981</v>
      </c>
    </row>
    <row r="132" spans="1:33" ht="11.25" customHeight="1" x14ac:dyDescent="0.25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24</v>
      </c>
      <c r="F132" s="3" t="s">
        <v>25</v>
      </c>
      <c r="G132" s="3" t="s">
        <v>25</v>
      </c>
      <c r="H132" s="3" t="s">
        <v>25</v>
      </c>
      <c r="I132" s="6">
        <v>44682</v>
      </c>
      <c r="J132" s="4">
        <v>0</v>
      </c>
      <c r="K132" s="4">
        <v>0</v>
      </c>
      <c r="L132" s="4">
        <v>744.77099999999996</v>
      </c>
      <c r="M132" s="4">
        <v>744.77099999999996</v>
      </c>
      <c r="N132" s="4">
        <v>744.77099999999996</v>
      </c>
      <c r="O132" s="4">
        <v>744.77099999999996</v>
      </c>
      <c r="P132" s="4">
        <v>4264</v>
      </c>
      <c r="Q132" s="3" t="s">
        <v>26</v>
      </c>
      <c r="R132" s="3">
        <v>0</v>
      </c>
      <c r="S132" s="4">
        <v>0</v>
      </c>
      <c r="T132" s="4">
        <v>20</v>
      </c>
      <c r="U132" s="4">
        <v>51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476.06</v>
      </c>
      <c r="X132" s="4">
        <f>IF(ISERROR(VLOOKUP($U$132,'TAR FIN'!$A$1:$O$88,15,0)),0,VLOOKUP($U$132,'TAR FIN'!$A$1:$O$88,15,0))</f>
        <v>165.21</v>
      </c>
      <c r="Y132" s="4"/>
      <c r="Z132" s="4">
        <f ca="1">('TUSD BE'!$AM$20+'TUSD BF'!$AM$20+'TUSD CVA'!$AM$20)*1</f>
        <v>529.7136948578077</v>
      </c>
      <c r="AA132" s="4">
        <f>('TE BE'!$AB$10+'TE BF'!$AB$10+'TE CVA'!$AB$10)*1</f>
        <v>153.95741395122897</v>
      </c>
      <c r="AB132" s="4">
        <f>$K$132*$V$132</f>
        <v>0</v>
      </c>
      <c r="AC132" s="4">
        <f>$M$132*$W$132</f>
        <v>354555.68225999997</v>
      </c>
      <c r="AD132" s="4">
        <f>$O$132*$X$132</f>
        <v>123043.61691</v>
      </c>
      <c r="AE132" s="4">
        <f>$K$132*$Y$132</f>
        <v>0</v>
      </c>
      <c r="AF132" s="4">
        <f ca="1">$M$132*$Z$132</f>
        <v>394515.39823294425</v>
      </c>
      <c r="AG132" s="4">
        <f>$O$132*$AA$132</f>
        <v>114663.01714587075</v>
      </c>
    </row>
    <row r="133" spans="1:33" ht="11.25" customHeight="1" x14ac:dyDescent="0.25">
      <c r="A133" s="3" t="s">
        <v>27</v>
      </c>
      <c r="B133" s="3" t="s">
        <v>22</v>
      </c>
      <c r="C133" s="3" t="s">
        <v>23</v>
      </c>
      <c r="D133" s="3" t="s">
        <v>24</v>
      </c>
      <c r="E133" s="3" t="s">
        <v>24</v>
      </c>
      <c r="F133" s="3" t="s">
        <v>25</v>
      </c>
      <c r="G133" s="3" t="s">
        <v>25</v>
      </c>
      <c r="H133" s="3" t="s">
        <v>25</v>
      </c>
      <c r="I133" s="6">
        <v>44682</v>
      </c>
      <c r="J133" s="4">
        <v>0</v>
      </c>
      <c r="K133" s="4">
        <v>0</v>
      </c>
      <c r="L133" s="4">
        <v>-0.29299999999999998</v>
      </c>
      <c r="M133" s="4">
        <v>-0.29299999999999998</v>
      </c>
      <c r="N133" s="4">
        <v>-0.29299999999999998</v>
      </c>
      <c r="O133" s="4">
        <v>-0.29299999999999998</v>
      </c>
      <c r="P133" s="4">
        <v>0</v>
      </c>
      <c r="Q133" s="3" t="s">
        <v>26</v>
      </c>
      <c r="R133" s="3">
        <v>0</v>
      </c>
      <c r="S133" s="4">
        <v>0</v>
      </c>
      <c r="T133" s="4">
        <v>20</v>
      </c>
      <c r="U133" s="4">
        <v>51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476.06</v>
      </c>
      <c r="X133" s="4">
        <f>IF(ISERROR(VLOOKUP($U$133,'TAR FIN'!$A$1:$O$88,15,0)),0,VLOOKUP($U$133,'TAR FIN'!$A$1:$O$88,15,0))</f>
        <v>165.21</v>
      </c>
      <c r="Y133" s="4"/>
      <c r="Z133" s="4">
        <f ca="1">('TUSD BE'!$AM$20+'TUSD BF'!$AM$20+'TUSD CVA'!$AM$20)*1</f>
        <v>529.7136948578077</v>
      </c>
      <c r="AA133" s="4">
        <f>('TE BE'!$AB$10+'TE BF'!$AB$10+'TE CVA'!$AB$10)*1</f>
        <v>153.95741395122897</v>
      </c>
      <c r="AB133" s="4">
        <f>$K$133*$V$133</f>
        <v>0</v>
      </c>
      <c r="AC133" s="4">
        <f>$M$133*$W$133</f>
        <v>-139.48558</v>
      </c>
      <c r="AD133" s="4">
        <f>$O$133*$X$133</f>
        <v>-48.406529999999997</v>
      </c>
      <c r="AE133" s="4">
        <f>$K$133*$Y$133</f>
        <v>0</v>
      </c>
      <c r="AF133" s="4">
        <f ca="1">$M$133*$Z$133</f>
        <v>-155.20611259333765</v>
      </c>
      <c r="AG133" s="4">
        <f>$O$133*$AA$133</f>
        <v>-45.109522287710085</v>
      </c>
    </row>
    <row r="134" spans="1:33" ht="11.25" customHeight="1" x14ac:dyDescent="0.25">
      <c r="A134" s="3" t="s">
        <v>28</v>
      </c>
      <c r="B134" s="3" t="s">
        <v>22</v>
      </c>
      <c r="C134" s="3" t="s">
        <v>23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25</v>
      </c>
      <c r="I134" s="6">
        <v>44682</v>
      </c>
      <c r="J134" s="4">
        <v>0</v>
      </c>
      <c r="K134" s="4">
        <v>0</v>
      </c>
      <c r="L134" s="4">
        <v>12.811999999999999</v>
      </c>
      <c r="M134" s="4">
        <v>12.811999999999999</v>
      </c>
      <c r="N134" s="4">
        <v>12.811999999999999</v>
      </c>
      <c r="O134" s="4">
        <v>12.811999999999999</v>
      </c>
      <c r="P134" s="4">
        <v>96</v>
      </c>
      <c r="Q134" s="3" t="s">
        <v>26</v>
      </c>
      <c r="R134" s="3">
        <v>0</v>
      </c>
      <c r="S134" s="4">
        <v>0</v>
      </c>
      <c r="T134" s="4">
        <v>20</v>
      </c>
      <c r="U134" s="4">
        <v>51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476.06</v>
      </c>
      <c r="X134" s="4">
        <f>IF(ISERROR(VLOOKUP($U$134,'TAR FIN'!$A$1:$O$88,15,0)),0,VLOOKUP($U$134,'TAR FIN'!$A$1:$O$88,15,0))</f>
        <v>165.21</v>
      </c>
      <c r="Y134" s="4"/>
      <c r="Z134" s="4">
        <f ca="1">('TUSD BE'!$AM$20+'TUSD BF'!$AM$20+'TUSD CVA'!$AM$20)*1</f>
        <v>529.7136948578077</v>
      </c>
      <c r="AA134" s="4">
        <f>('TE BE'!$AB$10+'TE BF'!$AB$10+'TE CVA'!$AB$10)*1</f>
        <v>153.95741395122897</v>
      </c>
      <c r="AB134" s="4">
        <f>$K$134*$V$134</f>
        <v>0</v>
      </c>
      <c r="AC134" s="4">
        <f>$M$134*$W$134</f>
        <v>6099.2807199999997</v>
      </c>
      <c r="AD134" s="4">
        <f>$O$134*$X$134</f>
        <v>2116.6705200000001</v>
      </c>
      <c r="AE134" s="4">
        <f>$K$134*$Y$134</f>
        <v>0</v>
      </c>
      <c r="AF134" s="4">
        <f ca="1">$M$134*$Z$134</f>
        <v>6786.691858518232</v>
      </c>
      <c r="AG134" s="4">
        <f>$O$134*$AA$134</f>
        <v>1972.5023875431455</v>
      </c>
    </row>
    <row r="135" spans="1:33" ht="11.25" customHeight="1" x14ac:dyDescent="0.25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25</v>
      </c>
      <c r="I135" s="6">
        <v>44713</v>
      </c>
      <c r="J135" s="4">
        <v>0</v>
      </c>
      <c r="K135" s="4">
        <v>0</v>
      </c>
      <c r="L135" s="4">
        <v>835.13599999999997</v>
      </c>
      <c r="M135" s="4">
        <v>835.13599999999997</v>
      </c>
      <c r="N135" s="4">
        <v>835.13599999999997</v>
      </c>
      <c r="O135" s="4">
        <v>835.13599999999997</v>
      </c>
      <c r="P135" s="4">
        <v>4321</v>
      </c>
      <c r="Q135" s="3" t="s">
        <v>26</v>
      </c>
      <c r="R135" s="3">
        <v>0</v>
      </c>
      <c r="S135" s="4">
        <v>0</v>
      </c>
      <c r="T135" s="4">
        <v>20</v>
      </c>
      <c r="U135" s="4">
        <v>51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476.06</v>
      </c>
      <c r="X135" s="4">
        <f>IF(ISERROR(VLOOKUP($U$135,'TAR FIN'!$A$1:$O$88,15,0)),0,VLOOKUP($U$135,'TAR FIN'!$A$1:$O$88,15,0))</f>
        <v>165.21</v>
      </c>
      <c r="Y135" s="4"/>
      <c r="Z135" s="4">
        <f ca="1">('TUSD BE'!$AM$20+'TUSD BF'!$AM$20+'TUSD CVA'!$AM$20)*1</f>
        <v>529.7136948578077</v>
      </c>
      <c r="AA135" s="4">
        <f>('TE BE'!$AB$10+'TE BF'!$AB$10+'TE CVA'!$AB$10)*1</f>
        <v>153.95741395122897</v>
      </c>
      <c r="AB135" s="4">
        <f>$K$135*$V$135</f>
        <v>0</v>
      </c>
      <c r="AC135" s="4">
        <f>$M$135*$W$135</f>
        <v>397574.84415999998</v>
      </c>
      <c r="AD135" s="4">
        <f>$O$135*$X$135</f>
        <v>137972.81856000001</v>
      </c>
      <c r="AE135" s="4">
        <f>$K$135*$Y$135</f>
        <v>0</v>
      </c>
      <c r="AF135" s="4">
        <f ca="1">$M$135*$Z$135</f>
        <v>442382.97626877006</v>
      </c>
      <c r="AG135" s="4">
        <f>$O$135*$AA$135</f>
        <v>128575.37885757355</v>
      </c>
    </row>
    <row r="136" spans="1:33" ht="11.25" customHeight="1" x14ac:dyDescent="0.25">
      <c r="A136" s="3" t="s">
        <v>27</v>
      </c>
      <c r="B136" s="3" t="s">
        <v>22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25</v>
      </c>
      <c r="I136" s="6">
        <v>44713</v>
      </c>
      <c r="J136" s="4">
        <v>0</v>
      </c>
      <c r="K136" s="4">
        <v>0</v>
      </c>
      <c r="L136" s="4">
        <v>-0.499</v>
      </c>
      <c r="M136" s="4">
        <v>-0.499</v>
      </c>
      <c r="N136" s="4">
        <v>-0.499</v>
      </c>
      <c r="O136" s="4">
        <v>-0.499</v>
      </c>
      <c r="P136" s="4">
        <v>0</v>
      </c>
      <c r="Q136" s="3" t="s">
        <v>26</v>
      </c>
      <c r="R136" s="3">
        <v>0</v>
      </c>
      <c r="S136" s="4">
        <v>0</v>
      </c>
      <c r="T136" s="4">
        <v>20</v>
      </c>
      <c r="U136" s="4">
        <v>51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476.06</v>
      </c>
      <c r="X136" s="4">
        <f>IF(ISERROR(VLOOKUP($U$136,'TAR FIN'!$A$1:$O$88,15,0)),0,VLOOKUP($U$136,'TAR FIN'!$A$1:$O$88,15,0))</f>
        <v>165.21</v>
      </c>
      <c r="Y136" s="4"/>
      <c r="Z136" s="4">
        <f ca="1">('TUSD BE'!$AM$20+'TUSD BF'!$AM$20+'TUSD CVA'!$AM$20)*1</f>
        <v>529.7136948578077</v>
      </c>
      <c r="AA136" s="4">
        <f>('TE BE'!$AB$10+'TE BF'!$AB$10+'TE CVA'!$AB$10)*1</f>
        <v>153.95741395122897</v>
      </c>
      <c r="AB136" s="4">
        <f>$K$136*$V$136</f>
        <v>0</v>
      </c>
      <c r="AC136" s="4">
        <f>$M$136*$W$136</f>
        <v>-237.55394000000001</v>
      </c>
      <c r="AD136" s="4">
        <f>$O$136*$X$136</f>
        <v>-82.439790000000002</v>
      </c>
      <c r="AE136" s="4">
        <f>$K$136*$Y$136</f>
        <v>0</v>
      </c>
      <c r="AF136" s="4">
        <f ca="1">$M$136*$Z$136</f>
        <v>-264.32713373404601</v>
      </c>
      <c r="AG136" s="4">
        <f>$O$136*$AA$136</f>
        <v>-76.824749561663253</v>
      </c>
    </row>
    <row r="137" spans="1:33" ht="11.25" customHeight="1" x14ac:dyDescent="0.25">
      <c r="A137" s="3" t="s">
        <v>28</v>
      </c>
      <c r="B137" s="3" t="s">
        <v>22</v>
      </c>
      <c r="C137" s="3" t="s">
        <v>23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25</v>
      </c>
      <c r="I137" s="6">
        <v>44713</v>
      </c>
      <c r="J137" s="4">
        <v>0</v>
      </c>
      <c r="K137" s="4">
        <v>0</v>
      </c>
      <c r="L137" s="4">
        <v>21.777999999999999</v>
      </c>
      <c r="M137" s="4">
        <v>21.777999999999999</v>
      </c>
      <c r="N137" s="4">
        <v>21.777999999999999</v>
      </c>
      <c r="O137" s="4">
        <v>21.777999999999999</v>
      </c>
      <c r="P137" s="4">
        <v>99</v>
      </c>
      <c r="Q137" s="3" t="s">
        <v>26</v>
      </c>
      <c r="R137" s="3">
        <v>0</v>
      </c>
      <c r="S137" s="4">
        <v>0</v>
      </c>
      <c r="T137" s="4">
        <v>20</v>
      </c>
      <c r="U137" s="4">
        <v>51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476.06</v>
      </c>
      <c r="X137" s="4">
        <f>IF(ISERROR(VLOOKUP($U$137,'TAR FIN'!$A$1:$O$88,15,0)),0,VLOOKUP($U$137,'TAR FIN'!$A$1:$O$88,15,0))</f>
        <v>165.21</v>
      </c>
      <c r="Y137" s="4"/>
      <c r="Z137" s="4">
        <f ca="1">('TUSD BE'!$AM$20+'TUSD BF'!$AM$20+'TUSD CVA'!$AM$20)*1</f>
        <v>529.7136948578077</v>
      </c>
      <c r="AA137" s="4">
        <f>('TE BE'!$AB$10+'TE BF'!$AB$10+'TE CVA'!$AB$10)*1</f>
        <v>153.95741395122897</v>
      </c>
      <c r="AB137" s="4">
        <f>$K$137*$V$137</f>
        <v>0</v>
      </c>
      <c r="AC137" s="4">
        <f>$M$137*$W$137</f>
        <v>10367.634679999999</v>
      </c>
      <c r="AD137" s="4">
        <f>$O$137*$X$137</f>
        <v>3597.9433800000002</v>
      </c>
      <c r="AE137" s="4">
        <f>$K$137*$Y$137</f>
        <v>0</v>
      </c>
      <c r="AF137" s="4">
        <f ca="1">$M$137*$Z$137</f>
        <v>11536.104846613336</v>
      </c>
      <c r="AG137" s="4">
        <f>$O$137*$AA$137</f>
        <v>3352.8845610298645</v>
      </c>
    </row>
    <row r="138" spans="1:33" ht="11.25" customHeight="1" x14ac:dyDescent="0.25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25</v>
      </c>
      <c r="I138" s="6">
        <v>44743</v>
      </c>
      <c r="J138" s="4">
        <v>0</v>
      </c>
      <c r="K138" s="4">
        <v>0</v>
      </c>
      <c r="L138" s="4">
        <v>714.19799999999998</v>
      </c>
      <c r="M138" s="4">
        <v>714.19799999999998</v>
      </c>
      <c r="N138" s="4">
        <v>714.19799999999998</v>
      </c>
      <c r="O138" s="4">
        <v>714.19799999999998</v>
      </c>
      <c r="P138" s="4">
        <v>4383</v>
      </c>
      <c r="Q138" s="3" t="s">
        <v>26</v>
      </c>
      <c r="R138" s="3">
        <v>0</v>
      </c>
      <c r="S138" s="4">
        <v>0</v>
      </c>
      <c r="T138" s="4">
        <v>20</v>
      </c>
      <c r="U138" s="4">
        <v>51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476.06</v>
      </c>
      <c r="X138" s="4">
        <f>IF(ISERROR(VLOOKUP($U$138,'TAR FIN'!$A$1:$O$88,15,0)),0,VLOOKUP($U$138,'TAR FIN'!$A$1:$O$88,15,0))</f>
        <v>165.21</v>
      </c>
      <c r="Y138" s="4"/>
      <c r="Z138" s="4">
        <f ca="1">('TUSD BE'!$AM$20+'TUSD BF'!$AM$20+'TUSD CVA'!$AM$20)*1</f>
        <v>529.7136948578077</v>
      </c>
      <c r="AA138" s="4">
        <f>('TE BE'!$AB$10+'TE BF'!$AB$10+'TE CVA'!$AB$10)*1</f>
        <v>153.95741395122897</v>
      </c>
      <c r="AB138" s="4">
        <f>$K$138*$V$138</f>
        <v>0</v>
      </c>
      <c r="AC138" s="4">
        <f>$M$138*$W$138</f>
        <v>340001.09987999999</v>
      </c>
      <c r="AD138" s="4">
        <f>$O$138*$X$138</f>
        <v>117992.65158000001</v>
      </c>
      <c r="AE138" s="4">
        <f>$K$138*$Y$138</f>
        <v>0</v>
      </c>
      <c r="AF138" s="4">
        <f ca="1">$M$138*$Z$138</f>
        <v>378320.4614400565</v>
      </c>
      <c r="AG138" s="4">
        <f>$O$138*$AA$138</f>
        <v>109956.07712913983</v>
      </c>
    </row>
    <row r="139" spans="1:33" ht="11.25" customHeight="1" x14ac:dyDescent="0.25">
      <c r="A139" s="3" t="s">
        <v>28</v>
      </c>
      <c r="B139" s="3" t="s">
        <v>22</v>
      </c>
      <c r="C139" s="3" t="s">
        <v>23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25</v>
      </c>
      <c r="I139" s="6">
        <v>44743</v>
      </c>
      <c r="J139" s="4">
        <v>0</v>
      </c>
      <c r="K139" s="4">
        <v>0</v>
      </c>
      <c r="L139" s="4">
        <v>15.89</v>
      </c>
      <c r="M139" s="4">
        <v>15.89</v>
      </c>
      <c r="N139" s="4">
        <v>15.89</v>
      </c>
      <c r="O139" s="4">
        <v>15.89</v>
      </c>
      <c r="P139" s="4">
        <v>103</v>
      </c>
      <c r="Q139" s="3" t="s">
        <v>26</v>
      </c>
      <c r="R139" s="3">
        <v>0</v>
      </c>
      <c r="S139" s="4">
        <v>0</v>
      </c>
      <c r="T139" s="4">
        <v>20</v>
      </c>
      <c r="U139" s="4">
        <v>51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476.06</v>
      </c>
      <c r="X139" s="4">
        <f>IF(ISERROR(VLOOKUP($U$139,'TAR FIN'!$A$1:$O$88,15,0)),0,VLOOKUP($U$139,'TAR FIN'!$A$1:$O$88,15,0))</f>
        <v>165.21</v>
      </c>
      <c r="Y139" s="4"/>
      <c r="Z139" s="4">
        <f ca="1">('TUSD BE'!$AM$20+'TUSD BF'!$AM$20+'TUSD CVA'!$AM$20)*1</f>
        <v>529.7136948578077</v>
      </c>
      <c r="AA139" s="4">
        <f>('TE BE'!$AB$10+'TE BF'!$AB$10+'TE CVA'!$AB$10)*1</f>
        <v>153.95741395122897</v>
      </c>
      <c r="AB139" s="4">
        <f>$K$139*$V$139</f>
        <v>0</v>
      </c>
      <c r="AC139" s="4">
        <f>$M$139*$W$139</f>
        <v>7564.5934000000007</v>
      </c>
      <c r="AD139" s="4">
        <f>$O$139*$X$139</f>
        <v>2625.1869000000002</v>
      </c>
      <c r="AE139" s="4">
        <f>$K$139*$Y$139</f>
        <v>0</v>
      </c>
      <c r="AF139" s="4">
        <f ca="1">$M$139*$Z$139</f>
        <v>8417.1506112905645</v>
      </c>
      <c r="AG139" s="4">
        <f>$O$139*$AA$139</f>
        <v>2446.3833076850283</v>
      </c>
    </row>
    <row r="140" spans="1:33" ht="11.25" customHeight="1" x14ac:dyDescent="0.25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44774</v>
      </c>
      <c r="J140" s="4">
        <v>0</v>
      </c>
      <c r="K140" s="4">
        <v>0</v>
      </c>
      <c r="L140" s="4">
        <v>793.97900000000004</v>
      </c>
      <c r="M140" s="4">
        <v>793.97900000000004</v>
      </c>
      <c r="N140" s="4">
        <v>793.97900000000004</v>
      </c>
      <c r="O140" s="4">
        <v>793.97900000000004</v>
      </c>
      <c r="P140" s="4">
        <v>4383</v>
      </c>
      <c r="Q140" s="3" t="s">
        <v>26</v>
      </c>
      <c r="R140" s="3">
        <v>0</v>
      </c>
      <c r="S140" s="4">
        <v>0</v>
      </c>
      <c r="T140" s="4">
        <v>20</v>
      </c>
      <c r="U140" s="4">
        <v>51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476.06</v>
      </c>
      <c r="X140" s="4">
        <f>IF(ISERROR(VLOOKUP($U$140,'TAR FIN'!$A$1:$O$88,15,0)),0,VLOOKUP($U$140,'TAR FIN'!$A$1:$O$88,15,0))</f>
        <v>165.21</v>
      </c>
      <c r="Y140" s="4"/>
      <c r="Z140" s="4">
        <f ca="1">('TUSD BE'!$AM$20+'TUSD BF'!$AM$20+'TUSD CVA'!$AM$20)*1</f>
        <v>529.7136948578077</v>
      </c>
      <c r="AA140" s="4">
        <f>('TE BE'!$AB$10+'TE BF'!$AB$10+'TE CVA'!$AB$10)*1</f>
        <v>153.95741395122897</v>
      </c>
      <c r="AB140" s="4">
        <f>$K$140*$V$140</f>
        <v>0</v>
      </c>
      <c r="AC140" s="4">
        <f>$M$140*$W$140</f>
        <v>377981.64274000004</v>
      </c>
      <c r="AD140" s="4">
        <f>$O$140*$X$140</f>
        <v>131173.27059</v>
      </c>
      <c r="AE140" s="4">
        <f>$K$140*$Y$140</f>
        <v>0</v>
      </c>
      <c r="AF140" s="4">
        <f ca="1">$M$140*$Z$140</f>
        <v>420581.5497295073</v>
      </c>
      <c r="AG140" s="4">
        <f>$O$140*$AA$140</f>
        <v>122238.95357158284</v>
      </c>
    </row>
    <row r="141" spans="1:33" ht="11.25" customHeight="1" x14ac:dyDescent="0.25">
      <c r="A141" s="3" t="s">
        <v>28</v>
      </c>
      <c r="B141" s="3" t="s">
        <v>22</v>
      </c>
      <c r="C141" s="3" t="s">
        <v>23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44774</v>
      </c>
      <c r="J141" s="4">
        <v>0</v>
      </c>
      <c r="K141" s="4">
        <v>0</v>
      </c>
      <c r="L141" s="4">
        <v>15.532999999999999</v>
      </c>
      <c r="M141" s="4">
        <v>15.532999999999999</v>
      </c>
      <c r="N141" s="4">
        <v>15.532999999999999</v>
      </c>
      <c r="O141" s="4">
        <v>15.532999999999999</v>
      </c>
      <c r="P141" s="4">
        <v>112</v>
      </c>
      <c r="Q141" s="3" t="s">
        <v>26</v>
      </c>
      <c r="R141" s="3">
        <v>0</v>
      </c>
      <c r="S141" s="4">
        <v>0</v>
      </c>
      <c r="T141" s="4">
        <v>20</v>
      </c>
      <c r="U141" s="4">
        <v>51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476.06</v>
      </c>
      <c r="X141" s="4">
        <f>IF(ISERROR(VLOOKUP($U$141,'TAR FIN'!$A$1:$O$88,15,0)),0,VLOOKUP($U$141,'TAR FIN'!$A$1:$O$88,15,0))</f>
        <v>165.21</v>
      </c>
      <c r="Y141" s="4"/>
      <c r="Z141" s="4">
        <f ca="1">('TUSD BE'!$AM$20+'TUSD BF'!$AM$20+'TUSD CVA'!$AM$20)*1</f>
        <v>529.7136948578077</v>
      </c>
      <c r="AA141" s="4">
        <f>('TE BE'!$AB$10+'TE BF'!$AB$10+'TE CVA'!$AB$10)*1</f>
        <v>153.95741395122897</v>
      </c>
      <c r="AB141" s="4">
        <f>$K$141*$V$141</f>
        <v>0</v>
      </c>
      <c r="AC141" s="4">
        <f>$M$141*$W$141</f>
        <v>7394.6399799999999</v>
      </c>
      <c r="AD141" s="4">
        <f>$O$141*$X$141</f>
        <v>2566.2069299999998</v>
      </c>
      <c r="AE141" s="4">
        <f>$K$141*$Y$141</f>
        <v>0</v>
      </c>
      <c r="AF141" s="4">
        <f ca="1">$M$141*$Z$141</f>
        <v>8228.0428222263272</v>
      </c>
      <c r="AG141" s="4">
        <f>$O$141*$AA$141</f>
        <v>2391.4205109044397</v>
      </c>
    </row>
    <row r="142" spans="1:33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29</v>
      </c>
      <c r="F142" s="3" t="s">
        <v>25</v>
      </c>
      <c r="G142" s="3" t="s">
        <v>25</v>
      </c>
      <c r="H142" s="3" t="s">
        <v>25</v>
      </c>
      <c r="I142" s="6">
        <v>44440</v>
      </c>
      <c r="J142" s="4">
        <v>0</v>
      </c>
      <c r="K142" s="4">
        <v>0</v>
      </c>
      <c r="L142" s="4">
        <v>5.91</v>
      </c>
      <c r="M142" s="4">
        <v>5.91</v>
      </c>
      <c r="N142" s="4">
        <v>5.91</v>
      </c>
      <c r="O142" s="4">
        <v>5.91</v>
      </c>
      <c r="P142" s="4">
        <v>11</v>
      </c>
      <c r="Q142" s="3" t="s">
        <v>26</v>
      </c>
      <c r="R142" s="3">
        <v>0</v>
      </c>
      <c r="S142" s="4">
        <v>0</v>
      </c>
      <c r="T142" s="4">
        <v>8</v>
      </c>
      <c r="U142" s="4">
        <v>47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142.83000000000001</v>
      </c>
      <c r="X142" s="4">
        <f>IF(ISERROR(VLOOKUP($U$142,'TAR FIN'!$A$1:$O$88,15,0)),0,VLOOKUP($U$142,'TAR FIN'!$A$1:$O$88,15,0))</f>
        <v>57.82</v>
      </c>
      <c r="Y142" s="4"/>
      <c r="Z142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2" s="4">
        <f>('TE BE'!$AB$11+'TE BF'!$AB$11+'TE CVA'!$AB$11)*(1-CUSTOS!$M$34)</f>
        <v>53.88509488293014</v>
      </c>
      <c r="AB142" s="4">
        <f>$K$142*$V$142</f>
        <v>0</v>
      </c>
      <c r="AC142" s="4">
        <f>$M$142*$W$142</f>
        <v>844.12530000000004</v>
      </c>
      <c r="AD142" s="4">
        <f>$O$142*$X$142</f>
        <v>341.71620000000001</v>
      </c>
      <c r="AE142" s="4">
        <f>$K$142*$Y$142</f>
        <v>0</v>
      </c>
      <c r="AF142" s="4">
        <f ca="1">$M$142*$Z$142</f>
        <v>875.46582315213084</v>
      </c>
      <c r="AG142" s="4">
        <f>$O$142*$AA$142</f>
        <v>318.46091075811711</v>
      </c>
    </row>
    <row r="143" spans="1:33" ht="11.25" customHeight="1" x14ac:dyDescent="0.25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29</v>
      </c>
      <c r="F143" s="3" t="s">
        <v>25</v>
      </c>
      <c r="G143" s="3" t="s">
        <v>25</v>
      </c>
      <c r="H143" s="3" t="s">
        <v>25</v>
      </c>
      <c r="I143" s="6">
        <v>44470</v>
      </c>
      <c r="J143" s="4">
        <v>0</v>
      </c>
      <c r="K143" s="4">
        <v>0</v>
      </c>
      <c r="L143" s="4">
        <v>5.97</v>
      </c>
      <c r="M143" s="4">
        <v>5.97</v>
      </c>
      <c r="N143" s="4">
        <v>5.97</v>
      </c>
      <c r="O143" s="4">
        <v>5.97</v>
      </c>
      <c r="P143" s="4">
        <v>14</v>
      </c>
      <c r="Q143" s="3" t="s">
        <v>26</v>
      </c>
      <c r="R143" s="3">
        <v>0</v>
      </c>
      <c r="S143" s="4">
        <v>0</v>
      </c>
      <c r="T143" s="4">
        <v>8</v>
      </c>
      <c r="U143" s="4">
        <v>47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142.83000000000001</v>
      </c>
      <c r="X143" s="4">
        <f>IF(ISERROR(VLOOKUP($U$143,'TAR FIN'!$A$1:$O$88,15,0)),0,VLOOKUP($U$143,'TAR FIN'!$A$1:$O$88,15,0))</f>
        <v>57.82</v>
      </c>
      <c r="Y143" s="4"/>
      <c r="Z143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3" s="4">
        <f>('TE BE'!$AB$11+'TE BF'!$AB$11+'TE CVA'!$AB$11)*(1-CUSTOS!$M$34)</f>
        <v>53.88509488293014</v>
      </c>
      <c r="AB143" s="4">
        <f>$K$143*$V$143</f>
        <v>0</v>
      </c>
      <c r="AC143" s="4">
        <f>$M$143*$W$143</f>
        <v>852.69510000000002</v>
      </c>
      <c r="AD143" s="4">
        <f>$O$143*$X$143</f>
        <v>345.18540000000002</v>
      </c>
      <c r="AE143" s="4">
        <f>$K$143*$Y$143</f>
        <v>0</v>
      </c>
      <c r="AF143" s="4">
        <f ca="1">$M$143*$Z$143</f>
        <v>884.35380105215245</v>
      </c>
      <c r="AG143" s="4">
        <f>$O$143*$AA$143</f>
        <v>321.69401645109292</v>
      </c>
    </row>
    <row r="144" spans="1:33" ht="11.25" customHeight="1" x14ac:dyDescent="0.25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29</v>
      </c>
      <c r="F144" s="3" t="s">
        <v>25</v>
      </c>
      <c r="G144" s="3" t="s">
        <v>25</v>
      </c>
      <c r="H144" s="3" t="s">
        <v>25</v>
      </c>
      <c r="I144" s="6">
        <v>44501</v>
      </c>
      <c r="J144" s="4">
        <v>0</v>
      </c>
      <c r="K144" s="4">
        <v>0</v>
      </c>
      <c r="L144" s="4">
        <v>5.97</v>
      </c>
      <c r="M144" s="4">
        <v>5.97</v>
      </c>
      <c r="N144" s="4">
        <v>5.97</v>
      </c>
      <c r="O144" s="4">
        <v>5.97</v>
      </c>
      <c r="P144" s="4">
        <v>11</v>
      </c>
      <c r="Q144" s="3" t="s">
        <v>26</v>
      </c>
      <c r="R144" s="3">
        <v>0</v>
      </c>
      <c r="S144" s="4">
        <v>0</v>
      </c>
      <c r="T144" s="4">
        <v>8</v>
      </c>
      <c r="U144" s="4">
        <v>47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142.83000000000001</v>
      </c>
      <c r="X144" s="4">
        <f>IF(ISERROR(VLOOKUP($U$144,'TAR FIN'!$A$1:$O$88,15,0)),0,VLOOKUP($U$144,'TAR FIN'!$A$1:$O$88,15,0))</f>
        <v>57.82</v>
      </c>
      <c r="Y144" s="4"/>
      <c r="Z144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4" s="4">
        <f>('TE BE'!$AB$11+'TE BF'!$AB$11+'TE CVA'!$AB$11)*(1-CUSTOS!$M$34)</f>
        <v>53.88509488293014</v>
      </c>
      <c r="AB144" s="4">
        <f>$K$144*$V$144</f>
        <v>0</v>
      </c>
      <c r="AC144" s="4">
        <f>$M$144*$W$144</f>
        <v>852.69510000000002</v>
      </c>
      <c r="AD144" s="4">
        <f>$O$144*$X$144</f>
        <v>345.18540000000002</v>
      </c>
      <c r="AE144" s="4">
        <f>$K$144*$Y$144</f>
        <v>0</v>
      </c>
      <c r="AF144" s="4">
        <f ca="1">$M$144*$Z$144</f>
        <v>884.35380105215245</v>
      </c>
      <c r="AG144" s="4">
        <f>$O$144*$AA$144</f>
        <v>321.69401645109292</v>
      </c>
    </row>
    <row r="145" spans="1:3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29</v>
      </c>
      <c r="F145" s="3" t="s">
        <v>25</v>
      </c>
      <c r="G145" s="3" t="s">
        <v>25</v>
      </c>
      <c r="H145" s="3" t="s">
        <v>25</v>
      </c>
      <c r="I145" s="6">
        <v>44531</v>
      </c>
      <c r="J145" s="4">
        <v>0</v>
      </c>
      <c r="K145" s="4">
        <v>0</v>
      </c>
      <c r="L145" s="4">
        <v>6.3</v>
      </c>
      <c r="M145" s="4">
        <v>6.3</v>
      </c>
      <c r="N145" s="4">
        <v>6.3</v>
      </c>
      <c r="O145" s="4">
        <v>6.3</v>
      </c>
      <c r="P145" s="4">
        <v>8</v>
      </c>
      <c r="Q145" s="3" t="s">
        <v>26</v>
      </c>
      <c r="R145" s="3">
        <v>0</v>
      </c>
      <c r="S145" s="4">
        <v>0</v>
      </c>
      <c r="T145" s="4">
        <v>8</v>
      </c>
      <c r="U145" s="4">
        <v>47</v>
      </c>
      <c r="V145" s="4">
        <f>IF(ISERROR(VLOOKUP($S$145,'TAR FIN'!$A$1:$O$88,15,0)),0,VLOOKUP($S$145,'TAR FIN'!$A$1:$O$88,15,0))</f>
        <v>0</v>
      </c>
      <c r="W145" s="4">
        <f>IF(ISERROR(VLOOKUP($T$145,'TAR FIN'!$A$1:$O$88,15,0)),0,VLOOKUP($T$145,'TAR FIN'!$A$1:$O$88,15,0))</f>
        <v>142.83000000000001</v>
      </c>
      <c r="X145" s="4">
        <f>IF(ISERROR(VLOOKUP($U$145,'TAR FIN'!$A$1:$O$88,15,0)),0,VLOOKUP($U$145,'TAR FIN'!$A$1:$O$88,15,0))</f>
        <v>57.82</v>
      </c>
      <c r="Y145" s="4"/>
      <c r="Z145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5" s="4">
        <f>('TE BE'!$AB$11+'TE BF'!$AB$11+'TE CVA'!$AB$11)*(1-CUSTOS!$M$34)</f>
        <v>53.88509488293014</v>
      </c>
      <c r="AB145" s="4">
        <f>$K$145*$V$145</f>
        <v>0</v>
      </c>
      <c r="AC145" s="4">
        <f>$M$145*$W$145</f>
        <v>899.82900000000006</v>
      </c>
      <c r="AD145" s="4">
        <f>$O$145*$X$145</f>
        <v>364.26600000000002</v>
      </c>
      <c r="AE145" s="4">
        <f>$K$145*$Y$145</f>
        <v>0</v>
      </c>
      <c r="AF145" s="4">
        <f ca="1">$M$145*$Z$145</f>
        <v>933.23767950227136</v>
      </c>
      <c r="AG145" s="4">
        <f>$O$145*$AA$145</f>
        <v>339.47609776245986</v>
      </c>
    </row>
    <row r="146" spans="1:33" ht="11.25" customHeight="1" x14ac:dyDescent="0.25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29</v>
      </c>
      <c r="F146" s="3" t="s">
        <v>25</v>
      </c>
      <c r="G146" s="3" t="s">
        <v>25</v>
      </c>
      <c r="H146" s="3" t="s">
        <v>25</v>
      </c>
      <c r="I146" s="6">
        <v>44562</v>
      </c>
      <c r="J146" s="4">
        <v>0</v>
      </c>
      <c r="K146" s="4">
        <v>0</v>
      </c>
      <c r="L146" s="4">
        <v>6.39</v>
      </c>
      <c r="M146" s="4">
        <v>6.39</v>
      </c>
      <c r="N146" s="4">
        <v>6.39</v>
      </c>
      <c r="O146" s="4">
        <v>6.39</v>
      </c>
      <c r="P146" s="4">
        <v>6</v>
      </c>
      <c r="Q146" s="3" t="s">
        <v>26</v>
      </c>
      <c r="R146" s="3">
        <v>0</v>
      </c>
      <c r="S146" s="4">
        <v>0</v>
      </c>
      <c r="T146" s="4">
        <v>8</v>
      </c>
      <c r="U146" s="4">
        <v>47</v>
      </c>
      <c r="V146" s="4">
        <f>IF(ISERROR(VLOOKUP($S$146,'TAR FIN'!$A$1:$O$88,15,0)),0,VLOOKUP($S$146,'TAR FIN'!$A$1:$O$88,15,0))</f>
        <v>0</v>
      </c>
      <c r="W146" s="4">
        <f>IF(ISERROR(VLOOKUP($T$146,'TAR FIN'!$A$1:$O$88,15,0)),0,VLOOKUP($T$146,'TAR FIN'!$A$1:$O$88,15,0))</f>
        <v>142.83000000000001</v>
      </c>
      <c r="X146" s="4">
        <f>IF(ISERROR(VLOOKUP($U$146,'TAR FIN'!$A$1:$O$88,15,0)),0,VLOOKUP($U$146,'TAR FIN'!$A$1:$O$88,15,0))</f>
        <v>57.82</v>
      </c>
      <c r="Y146" s="4"/>
      <c r="Z146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6" s="4">
        <f>('TE BE'!$AB$11+'TE BF'!$AB$11+'TE CVA'!$AB$11)*(1-CUSTOS!$M$34)</f>
        <v>53.88509488293014</v>
      </c>
      <c r="AB146" s="4">
        <f>$K$146*$V$146</f>
        <v>0</v>
      </c>
      <c r="AC146" s="4">
        <f>$M$146*$W$146</f>
        <v>912.68370000000004</v>
      </c>
      <c r="AD146" s="4">
        <f>$O$146*$X$146</f>
        <v>369.46979999999996</v>
      </c>
      <c r="AE146" s="4">
        <f>$K$146*$Y$146</f>
        <v>0</v>
      </c>
      <c r="AF146" s="4">
        <f ca="1">$M$146*$Z$146</f>
        <v>946.56964635230383</v>
      </c>
      <c r="AG146" s="4">
        <f>$O$146*$AA$146</f>
        <v>344.3257563019236</v>
      </c>
    </row>
    <row r="147" spans="1:33" ht="11.25" customHeight="1" x14ac:dyDescent="0.25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29</v>
      </c>
      <c r="F147" s="3" t="s">
        <v>25</v>
      </c>
      <c r="G147" s="3" t="s">
        <v>25</v>
      </c>
      <c r="H147" s="3" t="s">
        <v>25</v>
      </c>
      <c r="I147" s="6">
        <v>44593</v>
      </c>
      <c r="J147" s="4">
        <v>0</v>
      </c>
      <c r="K147" s="4">
        <v>0</v>
      </c>
      <c r="L147" s="4">
        <v>12.179</v>
      </c>
      <c r="M147" s="4">
        <v>12.179</v>
      </c>
      <c r="N147" s="4">
        <v>12.179</v>
      </c>
      <c r="O147" s="4">
        <v>12.179</v>
      </c>
      <c r="P147" s="4">
        <v>19</v>
      </c>
      <c r="Q147" s="3" t="s">
        <v>26</v>
      </c>
      <c r="R147" s="3">
        <v>0</v>
      </c>
      <c r="S147" s="4">
        <v>0</v>
      </c>
      <c r="T147" s="4">
        <v>8</v>
      </c>
      <c r="U147" s="4">
        <v>47</v>
      </c>
      <c r="V147" s="4">
        <f>IF(ISERROR(VLOOKUP($S$147,'TAR FIN'!$A$1:$O$88,15,0)),0,VLOOKUP($S$147,'TAR FIN'!$A$1:$O$88,15,0))</f>
        <v>0</v>
      </c>
      <c r="W147" s="4">
        <f>IF(ISERROR(VLOOKUP($T$147,'TAR FIN'!$A$1:$O$88,15,0)),0,VLOOKUP($T$147,'TAR FIN'!$A$1:$O$88,15,0))</f>
        <v>142.83000000000001</v>
      </c>
      <c r="X147" s="4">
        <f>IF(ISERROR(VLOOKUP($U$147,'TAR FIN'!$A$1:$O$88,15,0)),0,VLOOKUP($U$147,'TAR FIN'!$A$1:$O$88,15,0))</f>
        <v>57.82</v>
      </c>
      <c r="Y147" s="4"/>
      <c r="Z147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7" s="4">
        <f>('TE BE'!$AB$11+'TE BF'!$AB$11+'TE CVA'!$AB$11)*(1-CUSTOS!$M$34)</f>
        <v>53.88509488293014</v>
      </c>
      <c r="AB147" s="4">
        <f>$K$147*$V$147</f>
        <v>0</v>
      </c>
      <c r="AC147" s="4">
        <f>$M$147*$W$147</f>
        <v>1739.5265700000002</v>
      </c>
      <c r="AD147" s="4">
        <f>$O$147*$X$147</f>
        <v>704.18978000000004</v>
      </c>
      <c r="AE147" s="4">
        <f>$K$147*$Y$147</f>
        <v>0</v>
      </c>
      <c r="AF147" s="4">
        <f ca="1">$M$147*$Z$147</f>
        <v>1804.1113807393911</v>
      </c>
      <c r="AG147" s="4">
        <f>$O$147*$AA$147</f>
        <v>656.26657057920625</v>
      </c>
    </row>
    <row r="148" spans="1:3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29</v>
      </c>
      <c r="F148" s="3" t="s">
        <v>25</v>
      </c>
      <c r="G148" s="3" t="s">
        <v>25</v>
      </c>
      <c r="H148" s="3" t="s">
        <v>25</v>
      </c>
      <c r="I148" s="6">
        <v>44621</v>
      </c>
      <c r="J148" s="4">
        <v>0</v>
      </c>
      <c r="K148" s="4">
        <v>0</v>
      </c>
      <c r="L148" s="4">
        <v>13.053000000000001</v>
      </c>
      <c r="M148" s="4">
        <v>13.053000000000001</v>
      </c>
      <c r="N148" s="4">
        <v>13.053000000000001</v>
      </c>
      <c r="O148" s="4">
        <v>13.053000000000001</v>
      </c>
      <c r="P148" s="4">
        <v>23</v>
      </c>
      <c r="Q148" s="3" t="s">
        <v>26</v>
      </c>
      <c r="R148" s="3">
        <v>0</v>
      </c>
      <c r="S148" s="4">
        <v>0</v>
      </c>
      <c r="T148" s="4">
        <v>8</v>
      </c>
      <c r="U148" s="4">
        <v>47</v>
      </c>
      <c r="V148" s="4">
        <f>IF(ISERROR(VLOOKUP($S$148,'TAR FIN'!$A$1:$O$88,15,0)),0,VLOOKUP($S$148,'TAR FIN'!$A$1:$O$88,15,0))</f>
        <v>0</v>
      </c>
      <c r="W148" s="4">
        <f>IF(ISERROR(VLOOKUP($T$148,'TAR FIN'!$A$1:$O$88,15,0)),0,VLOOKUP($T$148,'TAR FIN'!$A$1:$O$88,15,0))</f>
        <v>142.83000000000001</v>
      </c>
      <c r="X148" s="4">
        <f>IF(ISERROR(VLOOKUP($U$148,'TAR FIN'!$A$1:$O$88,15,0)),0,VLOOKUP($U$148,'TAR FIN'!$A$1:$O$88,15,0))</f>
        <v>57.82</v>
      </c>
      <c r="Y148" s="4"/>
      <c r="Z148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8" s="4">
        <f>('TE BE'!$AB$11+'TE BF'!$AB$11+'TE CVA'!$AB$11)*(1-CUSTOS!$M$34)</f>
        <v>53.88509488293014</v>
      </c>
      <c r="AB148" s="4">
        <f>$K$148*$V$148</f>
        <v>0</v>
      </c>
      <c r="AC148" s="4">
        <f>$M$148*$W$148</f>
        <v>1864.3599900000004</v>
      </c>
      <c r="AD148" s="4">
        <f>$O$148*$X$148</f>
        <v>754.72446000000002</v>
      </c>
      <c r="AE148" s="4">
        <f>$K$148*$Y$148</f>
        <v>0</v>
      </c>
      <c r="AF148" s="4">
        <f ca="1">$M$148*$Z$148</f>
        <v>1933.5795921497063</v>
      </c>
      <c r="AG148" s="4">
        <f>$O$148*$AA$148</f>
        <v>703.36214350688715</v>
      </c>
    </row>
    <row r="149" spans="1:33" ht="11.25" customHeight="1" x14ac:dyDescent="0.25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29</v>
      </c>
      <c r="F149" s="3" t="s">
        <v>25</v>
      </c>
      <c r="G149" s="3" t="s">
        <v>25</v>
      </c>
      <c r="H149" s="3" t="s">
        <v>25</v>
      </c>
      <c r="I149" s="6">
        <v>44652</v>
      </c>
      <c r="J149" s="4">
        <v>0</v>
      </c>
      <c r="K149" s="4">
        <v>0</v>
      </c>
      <c r="L149" s="4">
        <v>13.14</v>
      </c>
      <c r="M149" s="4">
        <v>13.14</v>
      </c>
      <c r="N149" s="4">
        <v>13.14</v>
      </c>
      <c r="O149" s="4">
        <v>13.14</v>
      </c>
      <c r="P149" s="4">
        <v>24</v>
      </c>
      <c r="Q149" s="3" t="s">
        <v>26</v>
      </c>
      <c r="R149" s="3">
        <v>0</v>
      </c>
      <c r="S149" s="4">
        <v>0</v>
      </c>
      <c r="T149" s="4">
        <v>8</v>
      </c>
      <c r="U149" s="4">
        <v>47</v>
      </c>
      <c r="V149" s="4">
        <f>IF(ISERROR(VLOOKUP($S$149,'TAR FIN'!$A$1:$O$88,15,0)),0,VLOOKUP($S$149,'TAR FIN'!$A$1:$O$88,15,0))</f>
        <v>0</v>
      </c>
      <c r="W149" s="4">
        <f>IF(ISERROR(VLOOKUP($T$149,'TAR FIN'!$A$1:$O$88,15,0)),0,VLOOKUP($T$149,'TAR FIN'!$A$1:$O$88,15,0))</f>
        <v>142.83000000000001</v>
      </c>
      <c r="X149" s="4">
        <f>IF(ISERROR(VLOOKUP($U$149,'TAR FIN'!$A$1:$O$88,15,0)),0,VLOOKUP($U$149,'TAR FIN'!$A$1:$O$88,15,0))</f>
        <v>57.82</v>
      </c>
      <c r="Y149" s="4"/>
      <c r="Z149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49" s="4">
        <f>('TE BE'!$AB$11+'TE BF'!$AB$11+'TE CVA'!$AB$11)*(1-CUSTOS!$M$34)</f>
        <v>53.88509488293014</v>
      </c>
      <c r="AB149" s="4">
        <f>$K$149*$V$149</f>
        <v>0</v>
      </c>
      <c r="AC149" s="4">
        <f>$M$149*$W$149</f>
        <v>1876.7862000000002</v>
      </c>
      <c r="AD149" s="4">
        <f>$O$149*$X$149</f>
        <v>759.75480000000005</v>
      </c>
      <c r="AE149" s="4">
        <f>$K$149*$Y$149</f>
        <v>0</v>
      </c>
      <c r="AF149" s="4">
        <f ca="1">$M$149*$Z$149</f>
        <v>1946.4671601047376</v>
      </c>
      <c r="AG149" s="4">
        <f>$O$149*$AA$149</f>
        <v>708.05014676170208</v>
      </c>
    </row>
    <row r="150" spans="1:33" ht="11.25" customHeight="1" x14ac:dyDescent="0.25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29</v>
      </c>
      <c r="F150" s="3" t="s">
        <v>25</v>
      </c>
      <c r="G150" s="3" t="s">
        <v>25</v>
      </c>
      <c r="H150" s="3" t="s">
        <v>25</v>
      </c>
      <c r="I150" s="6">
        <v>44682</v>
      </c>
      <c r="J150" s="4">
        <v>0</v>
      </c>
      <c r="K150" s="4">
        <v>0</v>
      </c>
      <c r="L150" s="4">
        <v>12.45</v>
      </c>
      <c r="M150" s="4">
        <v>12.45</v>
      </c>
      <c r="N150" s="4">
        <v>12.45</v>
      </c>
      <c r="O150" s="4">
        <v>12.45</v>
      </c>
      <c r="P150" s="4">
        <v>33</v>
      </c>
      <c r="Q150" s="3" t="s">
        <v>26</v>
      </c>
      <c r="R150" s="3">
        <v>0</v>
      </c>
      <c r="S150" s="4">
        <v>0</v>
      </c>
      <c r="T150" s="4">
        <v>8</v>
      </c>
      <c r="U150" s="4">
        <v>47</v>
      </c>
      <c r="V150" s="4">
        <f>IF(ISERROR(VLOOKUP($S$150,'TAR FIN'!$A$1:$O$88,15,0)),0,VLOOKUP($S$150,'TAR FIN'!$A$1:$O$88,15,0))</f>
        <v>0</v>
      </c>
      <c r="W150" s="4">
        <f>IF(ISERROR(VLOOKUP($T$150,'TAR FIN'!$A$1:$O$88,15,0)),0,VLOOKUP($T$150,'TAR FIN'!$A$1:$O$88,15,0))</f>
        <v>142.83000000000001</v>
      </c>
      <c r="X150" s="4">
        <f>IF(ISERROR(VLOOKUP($U$150,'TAR FIN'!$A$1:$O$88,15,0)),0,VLOOKUP($U$150,'TAR FIN'!$A$1:$O$88,15,0))</f>
        <v>57.82</v>
      </c>
      <c r="Y150" s="4"/>
      <c r="Z150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50" s="4">
        <f>('TE BE'!$AB$11+'TE BF'!$AB$11+'TE CVA'!$AB$11)*(1-CUSTOS!$M$34)</f>
        <v>53.88509488293014</v>
      </c>
      <c r="AB150" s="4">
        <f>$K$150*$V$150</f>
        <v>0</v>
      </c>
      <c r="AC150" s="4">
        <f>$M$150*$W$150</f>
        <v>1778.2335</v>
      </c>
      <c r="AD150" s="4">
        <f>$O$150*$X$150</f>
        <v>719.85899999999992</v>
      </c>
      <c r="AE150" s="4">
        <f>$K$150*$Y$150</f>
        <v>0</v>
      </c>
      <c r="AF150" s="4">
        <f ca="1">$M$150*$Z$150</f>
        <v>1844.2554142544886</v>
      </c>
      <c r="AG150" s="4">
        <f>$O$150*$AA$150</f>
        <v>670.86943129248016</v>
      </c>
    </row>
    <row r="151" spans="1:3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29</v>
      </c>
      <c r="F151" s="3" t="s">
        <v>25</v>
      </c>
      <c r="G151" s="3" t="s">
        <v>25</v>
      </c>
      <c r="H151" s="3" t="s">
        <v>25</v>
      </c>
      <c r="I151" s="6">
        <v>44713</v>
      </c>
      <c r="J151" s="4">
        <v>0</v>
      </c>
      <c r="K151" s="4">
        <v>0</v>
      </c>
      <c r="L151" s="4">
        <v>10.65</v>
      </c>
      <c r="M151" s="4">
        <v>10.65</v>
      </c>
      <c r="N151" s="4">
        <v>10.65</v>
      </c>
      <c r="O151" s="4">
        <v>10.65</v>
      </c>
      <c r="P151" s="4">
        <v>24</v>
      </c>
      <c r="Q151" s="3" t="s">
        <v>26</v>
      </c>
      <c r="R151" s="3">
        <v>0</v>
      </c>
      <c r="S151" s="4">
        <v>0</v>
      </c>
      <c r="T151" s="4">
        <v>8</v>
      </c>
      <c r="U151" s="4">
        <v>47</v>
      </c>
      <c r="V151" s="4">
        <f>IF(ISERROR(VLOOKUP($S$151,'TAR FIN'!$A$1:$O$88,15,0)),0,VLOOKUP($S$151,'TAR FIN'!$A$1:$O$88,15,0))</f>
        <v>0</v>
      </c>
      <c r="W151" s="4">
        <f>IF(ISERROR(VLOOKUP($T$151,'TAR FIN'!$A$1:$O$88,15,0)),0,VLOOKUP($T$151,'TAR FIN'!$A$1:$O$88,15,0))</f>
        <v>142.83000000000001</v>
      </c>
      <c r="X151" s="4">
        <f>IF(ISERROR(VLOOKUP($U$151,'TAR FIN'!$A$1:$O$88,15,0)),0,VLOOKUP($U$151,'TAR FIN'!$A$1:$O$88,15,0))</f>
        <v>57.82</v>
      </c>
      <c r="Y151" s="4"/>
      <c r="Z151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51" s="4">
        <f>('TE BE'!$AB$11+'TE BF'!$AB$11+'TE CVA'!$AB$11)*(1-CUSTOS!$M$34)</f>
        <v>53.88509488293014</v>
      </c>
      <c r="AB151" s="4">
        <f>$K$151*$V$151</f>
        <v>0</v>
      </c>
      <c r="AC151" s="4">
        <f>$M$151*$W$151</f>
        <v>1521.1395000000002</v>
      </c>
      <c r="AD151" s="4">
        <f>$O$151*$X$151</f>
        <v>615.78300000000002</v>
      </c>
      <c r="AE151" s="4">
        <f>$K$151*$Y$151</f>
        <v>0</v>
      </c>
      <c r="AF151" s="4">
        <f ca="1">$M$151*$Z$151</f>
        <v>1577.6160772538399</v>
      </c>
      <c r="AG151" s="4">
        <f>$O$151*$AA$151</f>
        <v>573.87626050320603</v>
      </c>
    </row>
    <row r="152" spans="1:33" ht="11.25" customHeight="1" x14ac:dyDescent="0.25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29</v>
      </c>
      <c r="F152" s="3" t="s">
        <v>25</v>
      </c>
      <c r="G152" s="3" t="s">
        <v>25</v>
      </c>
      <c r="H152" s="3" t="s">
        <v>25</v>
      </c>
      <c r="I152" s="6">
        <v>44743</v>
      </c>
      <c r="J152" s="4">
        <v>0</v>
      </c>
      <c r="K152" s="4">
        <v>0</v>
      </c>
      <c r="L152" s="4">
        <v>9.48</v>
      </c>
      <c r="M152" s="4">
        <v>9.48</v>
      </c>
      <c r="N152" s="4">
        <v>9.48</v>
      </c>
      <c r="O152" s="4">
        <v>9.48</v>
      </c>
      <c r="P152" s="4">
        <v>18</v>
      </c>
      <c r="Q152" s="3" t="s">
        <v>26</v>
      </c>
      <c r="R152" s="3">
        <v>0</v>
      </c>
      <c r="S152" s="4">
        <v>0</v>
      </c>
      <c r="T152" s="4">
        <v>8</v>
      </c>
      <c r="U152" s="4">
        <v>47</v>
      </c>
      <c r="V152" s="4">
        <f>IF(ISERROR(VLOOKUP($S$152,'TAR FIN'!$A$1:$O$88,15,0)),0,VLOOKUP($S$152,'TAR FIN'!$A$1:$O$88,15,0))</f>
        <v>0</v>
      </c>
      <c r="W152" s="4">
        <f>IF(ISERROR(VLOOKUP($T$152,'TAR FIN'!$A$1:$O$88,15,0)),0,VLOOKUP($T$152,'TAR FIN'!$A$1:$O$88,15,0))</f>
        <v>142.83000000000001</v>
      </c>
      <c r="X152" s="4">
        <f>IF(ISERROR(VLOOKUP($U$152,'TAR FIN'!$A$1:$O$88,15,0)),0,VLOOKUP($U$152,'TAR FIN'!$A$1:$O$88,15,0))</f>
        <v>57.82</v>
      </c>
      <c r="Y152" s="4"/>
      <c r="Z152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52" s="4">
        <f>('TE BE'!$AB$11+'TE BF'!$AB$11+'TE CVA'!$AB$11)*(1-CUSTOS!$M$34)</f>
        <v>53.88509488293014</v>
      </c>
      <c r="AB152" s="4">
        <f>$K$152*$V$152</f>
        <v>0</v>
      </c>
      <c r="AC152" s="4">
        <f>$M$152*$W$152</f>
        <v>1354.0284000000001</v>
      </c>
      <c r="AD152" s="4">
        <f>$O$152*$X$152</f>
        <v>548.1336</v>
      </c>
      <c r="AE152" s="4">
        <f>$K$152*$Y$152</f>
        <v>0</v>
      </c>
      <c r="AF152" s="4">
        <f ca="1">$M$152*$Z$152</f>
        <v>1404.3005082034181</v>
      </c>
      <c r="AG152" s="4">
        <f>$O$152*$AA$152</f>
        <v>510.83069949017778</v>
      </c>
    </row>
    <row r="153" spans="1:33" ht="11.25" customHeight="1" x14ac:dyDescent="0.25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29</v>
      </c>
      <c r="F153" s="3" t="s">
        <v>25</v>
      </c>
      <c r="G153" s="3" t="s">
        <v>25</v>
      </c>
      <c r="H153" s="3" t="s">
        <v>25</v>
      </c>
      <c r="I153" s="6">
        <v>44774</v>
      </c>
      <c r="J153" s="4">
        <v>0</v>
      </c>
      <c r="K153" s="4">
        <v>0</v>
      </c>
      <c r="L153" s="4">
        <v>9.6300000000000008</v>
      </c>
      <c r="M153" s="4">
        <v>9.6300000000000008</v>
      </c>
      <c r="N153" s="4">
        <v>9.6300000000000008</v>
      </c>
      <c r="O153" s="4">
        <v>9.6300000000000008</v>
      </c>
      <c r="P153" s="4">
        <v>18</v>
      </c>
      <c r="Q153" s="3" t="s">
        <v>26</v>
      </c>
      <c r="R153" s="3">
        <v>0</v>
      </c>
      <c r="S153" s="4">
        <v>0</v>
      </c>
      <c r="T153" s="4">
        <v>8</v>
      </c>
      <c r="U153" s="4">
        <v>47</v>
      </c>
      <c r="V153" s="4">
        <f>IF(ISERROR(VLOOKUP($S$153,'TAR FIN'!$A$1:$O$88,15,0)),0,VLOOKUP($S$153,'TAR FIN'!$A$1:$O$88,15,0))</f>
        <v>0</v>
      </c>
      <c r="W153" s="4">
        <f>IF(ISERROR(VLOOKUP($T$153,'TAR FIN'!$A$1:$O$88,15,0)),0,VLOOKUP($T$153,'TAR FIN'!$A$1:$O$88,15,0))</f>
        <v>142.83000000000001</v>
      </c>
      <c r="X153" s="4">
        <f>IF(ISERROR(VLOOKUP($U$153,'TAR FIN'!$A$1:$O$88,15,0)),0,VLOOKUP($U$153,'TAR FIN'!$A$1:$O$88,15,0))</f>
        <v>57.82</v>
      </c>
      <c r="Y153" s="4"/>
      <c r="Z153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153" s="4">
        <f>('TE BE'!$AB$11+'TE BF'!$AB$11+'TE CVA'!$AB$11)*(1-CUSTOS!$M$34)</f>
        <v>53.88509488293014</v>
      </c>
      <c r="AB153" s="4">
        <f>$K$153*$V$153</f>
        <v>0</v>
      </c>
      <c r="AC153" s="4">
        <f>$M$153*$W$153</f>
        <v>1375.4529000000002</v>
      </c>
      <c r="AD153" s="4">
        <f>$O$153*$X$153</f>
        <v>556.8066</v>
      </c>
      <c r="AE153" s="4">
        <f>$K$153*$Y$153</f>
        <v>0</v>
      </c>
      <c r="AF153" s="4">
        <f ca="1">$M$153*$Z$153</f>
        <v>1426.5204529534722</v>
      </c>
      <c r="AG153" s="4">
        <f>$O$153*$AA$153</f>
        <v>518.91346372261728</v>
      </c>
    </row>
    <row r="154" spans="1:3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30</v>
      </c>
      <c r="F154" s="3" t="s">
        <v>25</v>
      </c>
      <c r="G154" s="3" t="s">
        <v>25</v>
      </c>
      <c r="H154" s="3" t="s">
        <v>25</v>
      </c>
      <c r="I154" s="6">
        <v>44440</v>
      </c>
      <c r="J154" s="4">
        <v>0</v>
      </c>
      <c r="K154" s="4">
        <v>0</v>
      </c>
      <c r="L154" s="4">
        <v>12.31</v>
      </c>
      <c r="M154" s="4">
        <v>12.31</v>
      </c>
      <c r="N154" s="4">
        <v>12.31</v>
      </c>
      <c r="O154" s="4">
        <v>12.31</v>
      </c>
      <c r="P154" s="4">
        <v>27</v>
      </c>
      <c r="Q154" s="3" t="s">
        <v>26</v>
      </c>
      <c r="R154" s="3">
        <v>0</v>
      </c>
      <c r="S154" s="4">
        <v>0</v>
      </c>
      <c r="T154" s="4">
        <v>14</v>
      </c>
      <c r="U154" s="4">
        <v>68</v>
      </c>
      <c r="V154" s="4">
        <f>IF(ISERROR(VLOOKUP($S$154,'TAR FIN'!$A$1:$O$88,15,0)),0,VLOOKUP($S$154,'TAR FIN'!$A$1:$O$88,15,0))</f>
        <v>0</v>
      </c>
      <c r="W154" s="4">
        <f>IF(ISERROR(VLOOKUP($T$154,'TAR FIN'!$A$1:$O$88,15,0)),0,VLOOKUP($T$154,'TAR FIN'!$A$1:$O$88,15,0))</f>
        <v>244.85</v>
      </c>
      <c r="X154" s="4">
        <f>IF(ISERROR(VLOOKUP($U$154,'TAR FIN'!$A$1:$O$88,15,0)),0,VLOOKUP($U$154,'TAR FIN'!$A$1:$O$88,15,0))</f>
        <v>99.12</v>
      </c>
      <c r="Y154" s="4"/>
      <c r="Z154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54" s="4">
        <f>('TE BE'!$AB$12+'TE BF'!$AB$12+'TE CVA'!$AB$12)*(1-CUSTOS!$M$35)</f>
        <v>92.374448370737383</v>
      </c>
      <c r="AB154" s="4">
        <f>$K$154*$V$154</f>
        <v>0</v>
      </c>
      <c r="AC154" s="4">
        <f>$M$154*$W$154</f>
        <v>3014.1035000000002</v>
      </c>
      <c r="AD154" s="4">
        <f>$O$154*$X$154</f>
        <v>1220.1672000000001</v>
      </c>
      <c r="AE154" s="4">
        <f>$K$154*$Y$154</f>
        <v>0</v>
      </c>
      <c r="AF154" s="4">
        <f ca="1">$M$154*$Z$154</f>
        <v>3126.0287985504656</v>
      </c>
      <c r="AG154" s="4">
        <f>$O$154*$AA$154</f>
        <v>1137.1294594437773</v>
      </c>
    </row>
    <row r="155" spans="1:33" ht="11.25" customHeight="1" x14ac:dyDescent="0.25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30</v>
      </c>
      <c r="F155" s="3" t="s">
        <v>25</v>
      </c>
      <c r="G155" s="3" t="s">
        <v>25</v>
      </c>
      <c r="H155" s="3" t="s">
        <v>25</v>
      </c>
      <c r="I155" s="6">
        <v>44470</v>
      </c>
      <c r="J155" s="4">
        <v>0</v>
      </c>
      <c r="K155" s="4">
        <v>0</v>
      </c>
      <c r="L155" s="4">
        <v>11.971</v>
      </c>
      <c r="M155" s="4">
        <v>11.971</v>
      </c>
      <c r="N155" s="4">
        <v>11.971</v>
      </c>
      <c r="O155" s="4">
        <v>11.971</v>
      </c>
      <c r="P155" s="4">
        <v>40</v>
      </c>
      <c r="Q155" s="3" t="s">
        <v>26</v>
      </c>
      <c r="R155" s="3">
        <v>0</v>
      </c>
      <c r="S155" s="4">
        <v>0</v>
      </c>
      <c r="T155" s="4">
        <v>14</v>
      </c>
      <c r="U155" s="4">
        <v>68</v>
      </c>
      <c r="V155" s="4">
        <f>IF(ISERROR(VLOOKUP($S$155,'TAR FIN'!$A$1:$O$88,15,0)),0,VLOOKUP($S$155,'TAR FIN'!$A$1:$O$88,15,0))</f>
        <v>0</v>
      </c>
      <c r="W155" s="4">
        <f>IF(ISERROR(VLOOKUP($T$155,'TAR FIN'!$A$1:$O$88,15,0)),0,VLOOKUP($T$155,'TAR FIN'!$A$1:$O$88,15,0))</f>
        <v>244.85</v>
      </c>
      <c r="X155" s="4">
        <f>IF(ISERROR(VLOOKUP($U$155,'TAR FIN'!$A$1:$O$88,15,0)),0,VLOOKUP($U$155,'TAR FIN'!$A$1:$O$88,15,0))</f>
        <v>99.12</v>
      </c>
      <c r="Y155" s="4"/>
      <c r="Z155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55" s="4">
        <f>('TE BE'!$AB$12+'TE BF'!$AB$12+'TE CVA'!$AB$12)*(1-CUSTOS!$M$35)</f>
        <v>92.374448370737383</v>
      </c>
      <c r="AB155" s="4">
        <f>$K$155*$V$155</f>
        <v>0</v>
      </c>
      <c r="AC155" s="4">
        <f>$M$155*$W$155</f>
        <v>2931.09935</v>
      </c>
      <c r="AD155" s="4">
        <f>$O$155*$X$155</f>
        <v>1186.5655200000001</v>
      </c>
      <c r="AE155" s="4">
        <f>$K$155*$Y$155</f>
        <v>0</v>
      </c>
      <c r="AF155" s="4">
        <f ca="1">$M$155*$Z$155</f>
        <v>3039.9423840331133</v>
      </c>
      <c r="AG155" s="4">
        <f>$O$155*$AA$155</f>
        <v>1105.8145214460972</v>
      </c>
    </row>
    <row r="156" spans="1:33" ht="11.25" customHeight="1" x14ac:dyDescent="0.25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30</v>
      </c>
      <c r="F156" s="3" t="s">
        <v>25</v>
      </c>
      <c r="G156" s="3" t="s">
        <v>25</v>
      </c>
      <c r="H156" s="3" t="s">
        <v>25</v>
      </c>
      <c r="I156" s="6">
        <v>44501</v>
      </c>
      <c r="J156" s="4">
        <v>0</v>
      </c>
      <c r="K156" s="4">
        <v>0</v>
      </c>
      <c r="L156" s="4">
        <v>12.382</v>
      </c>
      <c r="M156" s="4">
        <v>12.382</v>
      </c>
      <c r="N156" s="4">
        <v>12.382</v>
      </c>
      <c r="O156" s="4">
        <v>12.382</v>
      </c>
      <c r="P156" s="4">
        <v>26</v>
      </c>
      <c r="Q156" s="3" t="s">
        <v>26</v>
      </c>
      <c r="R156" s="3">
        <v>0</v>
      </c>
      <c r="S156" s="4">
        <v>0</v>
      </c>
      <c r="T156" s="4">
        <v>14</v>
      </c>
      <c r="U156" s="4">
        <v>68</v>
      </c>
      <c r="V156" s="4">
        <f>IF(ISERROR(VLOOKUP($S$156,'TAR FIN'!$A$1:$O$88,15,0)),0,VLOOKUP($S$156,'TAR FIN'!$A$1:$O$88,15,0))</f>
        <v>0</v>
      </c>
      <c r="W156" s="4">
        <f>IF(ISERROR(VLOOKUP($T$156,'TAR FIN'!$A$1:$O$88,15,0)),0,VLOOKUP($T$156,'TAR FIN'!$A$1:$O$88,15,0))</f>
        <v>244.85</v>
      </c>
      <c r="X156" s="4">
        <f>IF(ISERROR(VLOOKUP($U$156,'TAR FIN'!$A$1:$O$88,15,0)),0,VLOOKUP($U$156,'TAR FIN'!$A$1:$O$88,15,0))</f>
        <v>99.12</v>
      </c>
      <c r="Y156" s="4"/>
      <c r="Z156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56" s="4">
        <f>('TE BE'!$AB$12+'TE BF'!$AB$12+'TE CVA'!$AB$12)*(1-CUSTOS!$M$35)</f>
        <v>92.374448370737383</v>
      </c>
      <c r="AB156" s="4">
        <f>$K$156*$V$156</f>
        <v>0</v>
      </c>
      <c r="AC156" s="4">
        <f>$M$156*$W$156</f>
        <v>3031.7327</v>
      </c>
      <c r="AD156" s="4">
        <f>$O$156*$X$156</f>
        <v>1227.30384</v>
      </c>
      <c r="AE156" s="4">
        <f>$K$156*$Y$156</f>
        <v>0</v>
      </c>
      <c r="AF156" s="4">
        <f ca="1">$M$156*$Z$156</f>
        <v>3144.3126388019382</v>
      </c>
      <c r="AG156" s="4">
        <f>$O$156*$AA$156</f>
        <v>1143.7804197264702</v>
      </c>
    </row>
    <row r="157" spans="1:3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30</v>
      </c>
      <c r="F157" s="3" t="s">
        <v>25</v>
      </c>
      <c r="G157" s="3" t="s">
        <v>25</v>
      </c>
      <c r="H157" s="3" t="s">
        <v>25</v>
      </c>
      <c r="I157" s="6">
        <v>44531</v>
      </c>
      <c r="J157" s="4">
        <v>0</v>
      </c>
      <c r="K157" s="4">
        <v>0</v>
      </c>
      <c r="L157" s="4">
        <v>13.146000000000001</v>
      </c>
      <c r="M157" s="4">
        <v>13.146000000000001</v>
      </c>
      <c r="N157" s="4">
        <v>13.146000000000001</v>
      </c>
      <c r="O157" s="4">
        <v>13.146000000000001</v>
      </c>
      <c r="P157" s="4">
        <v>26</v>
      </c>
      <c r="Q157" s="3" t="s">
        <v>26</v>
      </c>
      <c r="R157" s="3">
        <v>0</v>
      </c>
      <c r="S157" s="4">
        <v>0</v>
      </c>
      <c r="T157" s="4">
        <v>14</v>
      </c>
      <c r="U157" s="4">
        <v>68</v>
      </c>
      <c r="V157" s="4">
        <f>IF(ISERROR(VLOOKUP($S$157,'TAR FIN'!$A$1:$O$88,15,0)),0,VLOOKUP($S$157,'TAR FIN'!$A$1:$O$88,15,0))</f>
        <v>0</v>
      </c>
      <c r="W157" s="4">
        <f>IF(ISERROR(VLOOKUP($T$157,'TAR FIN'!$A$1:$O$88,15,0)),0,VLOOKUP($T$157,'TAR FIN'!$A$1:$O$88,15,0))</f>
        <v>244.85</v>
      </c>
      <c r="X157" s="4">
        <f>IF(ISERROR(VLOOKUP($U$157,'TAR FIN'!$A$1:$O$88,15,0)),0,VLOOKUP($U$157,'TAR FIN'!$A$1:$O$88,15,0))</f>
        <v>99.12</v>
      </c>
      <c r="Y157" s="4"/>
      <c r="Z157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57" s="4">
        <f>('TE BE'!$AB$12+'TE BF'!$AB$12+'TE CVA'!$AB$12)*(1-CUSTOS!$M$35)</f>
        <v>92.374448370737383</v>
      </c>
      <c r="AB157" s="4">
        <f>$K$157*$V$157</f>
        <v>0</v>
      </c>
      <c r="AC157" s="4">
        <f>$M$157*$W$157</f>
        <v>3218.7981</v>
      </c>
      <c r="AD157" s="4">
        <f>$O$157*$X$157</f>
        <v>1303.0315200000002</v>
      </c>
      <c r="AE157" s="4">
        <f>$K$157*$Y$157</f>
        <v>0</v>
      </c>
      <c r="AF157" s="4">
        <f ca="1">$M$157*$Z$157</f>
        <v>3338.324499248125</v>
      </c>
      <c r="AG157" s="4">
        <f>$O$157*$AA$157</f>
        <v>1214.3544982817136</v>
      </c>
    </row>
    <row r="158" spans="1:33" ht="11.25" customHeight="1" x14ac:dyDescent="0.25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30</v>
      </c>
      <c r="F158" s="3" t="s">
        <v>25</v>
      </c>
      <c r="G158" s="3" t="s">
        <v>25</v>
      </c>
      <c r="H158" s="3" t="s">
        <v>25</v>
      </c>
      <c r="I158" s="6">
        <v>44562</v>
      </c>
      <c r="J158" s="4">
        <v>0</v>
      </c>
      <c r="K158" s="4">
        <v>0</v>
      </c>
      <c r="L158" s="4">
        <v>13.582000000000001</v>
      </c>
      <c r="M158" s="4">
        <v>13.582000000000001</v>
      </c>
      <c r="N158" s="4">
        <v>13.582000000000001</v>
      </c>
      <c r="O158" s="4">
        <v>13.582000000000001</v>
      </c>
      <c r="P158" s="4">
        <v>23</v>
      </c>
      <c r="Q158" s="3" t="s">
        <v>26</v>
      </c>
      <c r="R158" s="3">
        <v>0</v>
      </c>
      <c r="S158" s="4">
        <v>0</v>
      </c>
      <c r="T158" s="4">
        <v>14</v>
      </c>
      <c r="U158" s="4">
        <v>68</v>
      </c>
      <c r="V158" s="4">
        <f>IF(ISERROR(VLOOKUP($S$158,'TAR FIN'!$A$1:$O$88,15,0)),0,VLOOKUP($S$158,'TAR FIN'!$A$1:$O$88,15,0))</f>
        <v>0</v>
      </c>
      <c r="W158" s="4">
        <f>IF(ISERROR(VLOOKUP($T$158,'TAR FIN'!$A$1:$O$88,15,0)),0,VLOOKUP($T$158,'TAR FIN'!$A$1:$O$88,15,0))</f>
        <v>244.85</v>
      </c>
      <c r="X158" s="4">
        <f>IF(ISERROR(VLOOKUP($U$158,'TAR FIN'!$A$1:$O$88,15,0)),0,VLOOKUP($U$158,'TAR FIN'!$A$1:$O$88,15,0))</f>
        <v>99.12</v>
      </c>
      <c r="Y158" s="4"/>
      <c r="Z158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58" s="4">
        <f>('TE BE'!$AB$12+'TE BF'!$AB$12+'TE CVA'!$AB$12)*(1-CUSTOS!$M$35)</f>
        <v>92.374448370737383</v>
      </c>
      <c r="AB158" s="4">
        <f>$K$158*$V$158</f>
        <v>0</v>
      </c>
      <c r="AC158" s="4">
        <f>$M$158*$W$158</f>
        <v>3325.5527000000002</v>
      </c>
      <c r="AD158" s="4">
        <f>$O$158*$X$158</f>
        <v>1346.2478400000002</v>
      </c>
      <c r="AE158" s="4">
        <f>$K$158*$Y$158</f>
        <v>0</v>
      </c>
      <c r="AF158" s="4">
        <f ca="1">$M$158*$Z$158</f>
        <v>3449.0433096598231</v>
      </c>
      <c r="AG158" s="4">
        <f>$O$158*$AA$158</f>
        <v>1254.6297577713551</v>
      </c>
    </row>
    <row r="159" spans="1:33" ht="11.25" customHeight="1" x14ac:dyDescent="0.25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30</v>
      </c>
      <c r="F159" s="3" t="s">
        <v>25</v>
      </c>
      <c r="G159" s="3" t="s">
        <v>25</v>
      </c>
      <c r="H159" s="3" t="s">
        <v>25</v>
      </c>
      <c r="I159" s="6">
        <v>44593</v>
      </c>
      <c r="J159" s="4">
        <v>0</v>
      </c>
      <c r="K159" s="4">
        <v>0</v>
      </c>
      <c r="L159" s="4">
        <v>24.603000000000002</v>
      </c>
      <c r="M159" s="4">
        <v>24.603000000000002</v>
      </c>
      <c r="N159" s="4">
        <v>24.603000000000002</v>
      </c>
      <c r="O159" s="4">
        <v>24.603000000000002</v>
      </c>
      <c r="P159" s="4">
        <v>75</v>
      </c>
      <c r="Q159" s="3" t="s">
        <v>26</v>
      </c>
      <c r="R159" s="3">
        <v>0</v>
      </c>
      <c r="S159" s="4">
        <v>0</v>
      </c>
      <c r="T159" s="4">
        <v>14</v>
      </c>
      <c r="U159" s="4">
        <v>68</v>
      </c>
      <c r="V159" s="4">
        <f>IF(ISERROR(VLOOKUP($S$159,'TAR FIN'!$A$1:$O$88,15,0)),0,VLOOKUP($S$159,'TAR FIN'!$A$1:$O$88,15,0))</f>
        <v>0</v>
      </c>
      <c r="W159" s="4">
        <f>IF(ISERROR(VLOOKUP($T$159,'TAR FIN'!$A$1:$O$88,15,0)),0,VLOOKUP($T$159,'TAR FIN'!$A$1:$O$88,15,0))</f>
        <v>244.85</v>
      </c>
      <c r="X159" s="4">
        <f>IF(ISERROR(VLOOKUP($U$159,'TAR FIN'!$A$1:$O$88,15,0)),0,VLOOKUP($U$159,'TAR FIN'!$A$1:$O$88,15,0))</f>
        <v>99.12</v>
      </c>
      <c r="Y159" s="4"/>
      <c r="Z159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59" s="4">
        <f>('TE BE'!$AB$12+'TE BF'!$AB$12+'TE CVA'!$AB$12)*(1-CUSTOS!$M$35)</f>
        <v>92.374448370737383</v>
      </c>
      <c r="AB159" s="4">
        <f>$K$159*$V$159</f>
        <v>0</v>
      </c>
      <c r="AC159" s="4">
        <f>$M$159*$W$159</f>
        <v>6024.0445500000005</v>
      </c>
      <c r="AD159" s="4">
        <f>$O$159*$X$159</f>
        <v>2438.6493600000003</v>
      </c>
      <c r="AE159" s="4">
        <f>$K$159*$Y$159</f>
        <v>0</v>
      </c>
      <c r="AF159" s="4">
        <f ca="1">$M$159*$Z$159</f>
        <v>6247.7405792637783</v>
      </c>
      <c r="AG159" s="4">
        <f>$O$159*$AA$159</f>
        <v>2272.6885532652518</v>
      </c>
    </row>
    <row r="160" spans="1:3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30</v>
      </c>
      <c r="F160" s="3" t="s">
        <v>25</v>
      </c>
      <c r="G160" s="3" t="s">
        <v>25</v>
      </c>
      <c r="H160" s="3" t="s">
        <v>25</v>
      </c>
      <c r="I160" s="6">
        <v>44621</v>
      </c>
      <c r="J160" s="4">
        <v>0</v>
      </c>
      <c r="K160" s="4">
        <v>0</v>
      </c>
      <c r="L160" s="4">
        <v>26.404</v>
      </c>
      <c r="M160" s="4">
        <v>26.404</v>
      </c>
      <c r="N160" s="4">
        <v>26.404</v>
      </c>
      <c r="O160" s="4">
        <v>26.404</v>
      </c>
      <c r="P160" s="4">
        <v>77</v>
      </c>
      <c r="Q160" s="3" t="s">
        <v>26</v>
      </c>
      <c r="R160" s="3">
        <v>0</v>
      </c>
      <c r="S160" s="4">
        <v>0</v>
      </c>
      <c r="T160" s="4">
        <v>14</v>
      </c>
      <c r="U160" s="4">
        <v>68</v>
      </c>
      <c r="V160" s="4">
        <f>IF(ISERROR(VLOOKUP($S$160,'TAR FIN'!$A$1:$O$88,15,0)),0,VLOOKUP($S$160,'TAR FIN'!$A$1:$O$88,15,0))</f>
        <v>0</v>
      </c>
      <c r="W160" s="4">
        <f>IF(ISERROR(VLOOKUP($T$160,'TAR FIN'!$A$1:$O$88,15,0)),0,VLOOKUP($T$160,'TAR FIN'!$A$1:$O$88,15,0))</f>
        <v>244.85</v>
      </c>
      <c r="X160" s="4">
        <f>IF(ISERROR(VLOOKUP($U$160,'TAR FIN'!$A$1:$O$88,15,0)),0,VLOOKUP($U$160,'TAR FIN'!$A$1:$O$88,15,0))</f>
        <v>99.12</v>
      </c>
      <c r="Y160" s="4"/>
      <c r="Z160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60" s="4">
        <f>('TE BE'!$AB$12+'TE BF'!$AB$12+'TE CVA'!$AB$12)*(1-CUSTOS!$M$35)</f>
        <v>92.374448370737383</v>
      </c>
      <c r="AB160" s="4">
        <f>$K$160*$V$160</f>
        <v>0</v>
      </c>
      <c r="AC160" s="4">
        <f>$M$160*$W$160</f>
        <v>6465.0194000000001</v>
      </c>
      <c r="AD160" s="4">
        <f>$O$160*$X$160</f>
        <v>2617.1644799999999</v>
      </c>
      <c r="AE160" s="4">
        <f>$K$160*$Y$160</f>
        <v>0</v>
      </c>
      <c r="AF160" s="4">
        <f ca="1">$M$160*$Z$160</f>
        <v>6705.0905277763195</v>
      </c>
      <c r="AG160" s="4">
        <f>$O$160*$AA$160</f>
        <v>2439.0549347809497</v>
      </c>
    </row>
    <row r="161" spans="1:33" ht="11.25" customHeight="1" x14ac:dyDescent="0.25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30</v>
      </c>
      <c r="F161" s="3" t="s">
        <v>25</v>
      </c>
      <c r="G161" s="3" t="s">
        <v>25</v>
      </c>
      <c r="H161" s="3" t="s">
        <v>25</v>
      </c>
      <c r="I161" s="6">
        <v>44652</v>
      </c>
      <c r="J161" s="4">
        <v>0</v>
      </c>
      <c r="K161" s="4">
        <v>0</v>
      </c>
      <c r="L161" s="4">
        <v>26.151</v>
      </c>
      <c r="M161" s="4">
        <v>26.151</v>
      </c>
      <c r="N161" s="4">
        <v>26.151</v>
      </c>
      <c r="O161" s="4">
        <v>26.151</v>
      </c>
      <c r="P161" s="4">
        <v>88</v>
      </c>
      <c r="Q161" s="3" t="s">
        <v>26</v>
      </c>
      <c r="R161" s="3">
        <v>0</v>
      </c>
      <c r="S161" s="4">
        <v>0</v>
      </c>
      <c r="T161" s="4">
        <v>14</v>
      </c>
      <c r="U161" s="4">
        <v>68</v>
      </c>
      <c r="V161" s="4">
        <f>IF(ISERROR(VLOOKUP($S$161,'TAR FIN'!$A$1:$O$88,15,0)),0,VLOOKUP($S$161,'TAR FIN'!$A$1:$O$88,15,0))</f>
        <v>0</v>
      </c>
      <c r="W161" s="4">
        <f>IF(ISERROR(VLOOKUP($T$161,'TAR FIN'!$A$1:$O$88,15,0)),0,VLOOKUP($T$161,'TAR FIN'!$A$1:$O$88,15,0))</f>
        <v>244.85</v>
      </c>
      <c r="X161" s="4">
        <f>IF(ISERROR(VLOOKUP($U$161,'TAR FIN'!$A$1:$O$88,15,0)),0,VLOOKUP($U$161,'TAR FIN'!$A$1:$O$88,15,0))</f>
        <v>99.12</v>
      </c>
      <c r="Y161" s="4"/>
      <c r="Z161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61" s="4">
        <f>('TE BE'!$AB$12+'TE BF'!$AB$12+'TE CVA'!$AB$12)*(1-CUSTOS!$M$35)</f>
        <v>92.374448370737383</v>
      </c>
      <c r="AB161" s="4">
        <f>$K$161*$V$161</f>
        <v>0</v>
      </c>
      <c r="AC161" s="4">
        <f>$M$161*$W$161</f>
        <v>6403.0723499999995</v>
      </c>
      <c r="AD161" s="4">
        <f>$O$161*$X$161</f>
        <v>2592.0871200000001</v>
      </c>
      <c r="AE161" s="4">
        <f>$K$161*$Y$161</f>
        <v>0</v>
      </c>
      <c r="AF161" s="4">
        <f ca="1">$M$161*$Z$161</f>
        <v>6640.8431446704481</v>
      </c>
      <c r="AG161" s="4">
        <f>$O$161*$AA$161</f>
        <v>2415.6841993431531</v>
      </c>
    </row>
    <row r="162" spans="1:33" ht="11.25" customHeight="1" x14ac:dyDescent="0.25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30</v>
      </c>
      <c r="F162" s="3" t="s">
        <v>25</v>
      </c>
      <c r="G162" s="3" t="s">
        <v>25</v>
      </c>
      <c r="H162" s="3" t="s">
        <v>25</v>
      </c>
      <c r="I162" s="6">
        <v>44682</v>
      </c>
      <c r="J162" s="4">
        <v>0</v>
      </c>
      <c r="K162" s="4">
        <v>0</v>
      </c>
      <c r="L162" s="4">
        <v>24.312000000000001</v>
      </c>
      <c r="M162" s="4">
        <v>24.312000000000001</v>
      </c>
      <c r="N162" s="4">
        <v>24.312000000000001</v>
      </c>
      <c r="O162" s="4">
        <v>24.312000000000001</v>
      </c>
      <c r="P162" s="4">
        <v>83</v>
      </c>
      <c r="Q162" s="3" t="s">
        <v>26</v>
      </c>
      <c r="R162" s="3">
        <v>0</v>
      </c>
      <c r="S162" s="4">
        <v>0</v>
      </c>
      <c r="T162" s="4">
        <v>14</v>
      </c>
      <c r="U162" s="4">
        <v>68</v>
      </c>
      <c r="V162" s="4">
        <f>IF(ISERROR(VLOOKUP($S$162,'TAR FIN'!$A$1:$O$88,15,0)),0,VLOOKUP($S$162,'TAR FIN'!$A$1:$O$88,15,0))</f>
        <v>0</v>
      </c>
      <c r="W162" s="4">
        <f>IF(ISERROR(VLOOKUP($T$162,'TAR FIN'!$A$1:$O$88,15,0)),0,VLOOKUP($T$162,'TAR FIN'!$A$1:$O$88,15,0))</f>
        <v>244.85</v>
      </c>
      <c r="X162" s="4">
        <f>IF(ISERROR(VLOOKUP($U$162,'TAR FIN'!$A$1:$O$88,15,0)),0,VLOOKUP($U$162,'TAR FIN'!$A$1:$O$88,15,0))</f>
        <v>99.12</v>
      </c>
      <c r="Y162" s="4"/>
      <c r="Z162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62" s="4">
        <f>('TE BE'!$AB$12+'TE BF'!$AB$12+'TE CVA'!$AB$12)*(1-CUSTOS!$M$35)</f>
        <v>92.374448370737383</v>
      </c>
      <c r="AB162" s="4">
        <f>$K$162*$V$162</f>
        <v>0</v>
      </c>
      <c r="AC162" s="4">
        <f>$M$162*$W$162</f>
        <v>5952.7932000000001</v>
      </c>
      <c r="AD162" s="4">
        <f>$O$162*$X$162</f>
        <v>2409.8054400000001</v>
      </c>
      <c r="AE162" s="4">
        <f>$K$162*$Y$162</f>
        <v>0</v>
      </c>
      <c r="AF162" s="4">
        <f ca="1">$M$162*$Z$162</f>
        <v>6173.8433915807409</v>
      </c>
      <c r="AG162" s="4">
        <f>$O$162*$AA$162</f>
        <v>2245.8075887893674</v>
      </c>
    </row>
    <row r="163" spans="1:3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30</v>
      </c>
      <c r="F163" s="3" t="s">
        <v>25</v>
      </c>
      <c r="G163" s="3" t="s">
        <v>25</v>
      </c>
      <c r="H163" s="3" t="s">
        <v>25</v>
      </c>
      <c r="I163" s="6">
        <v>44713</v>
      </c>
      <c r="J163" s="4">
        <v>0</v>
      </c>
      <c r="K163" s="4">
        <v>0</v>
      </c>
      <c r="L163" s="4">
        <v>21.07</v>
      </c>
      <c r="M163" s="4">
        <v>21.07</v>
      </c>
      <c r="N163" s="4">
        <v>21.07</v>
      </c>
      <c r="O163" s="4">
        <v>21.07</v>
      </c>
      <c r="P163" s="4">
        <v>74</v>
      </c>
      <c r="Q163" s="3" t="s">
        <v>26</v>
      </c>
      <c r="R163" s="3">
        <v>0</v>
      </c>
      <c r="S163" s="4">
        <v>0</v>
      </c>
      <c r="T163" s="4">
        <v>14</v>
      </c>
      <c r="U163" s="4">
        <v>68</v>
      </c>
      <c r="V163" s="4">
        <f>IF(ISERROR(VLOOKUP($S$163,'TAR FIN'!$A$1:$O$88,15,0)),0,VLOOKUP($S$163,'TAR FIN'!$A$1:$O$88,15,0))</f>
        <v>0</v>
      </c>
      <c r="W163" s="4">
        <f>IF(ISERROR(VLOOKUP($T$163,'TAR FIN'!$A$1:$O$88,15,0)),0,VLOOKUP($T$163,'TAR FIN'!$A$1:$O$88,15,0))</f>
        <v>244.85</v>
      </c>
      <c r="X163" s="4">
        <f>IF(ISERROR(VLOOKUP($U$163,'TAR FIN'!$A$1:$O$88,15,0)),0,VLOOKUP($U$163,'TAR FIN'!$A$1:$O$88,15,0))</f>
        <v>99.12</v>
      </c>
      <c r="Y163" s="4"/>
      <c r="Z163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63" s="4">
        <f>('TE BE'!$AB$12+'TE BF'!$AB$12+'TE CVA'!$AB$12)*(1-CUSTOS!$M$35)</f>
        <v>92.374448370737383</v>
      </c>
      <c r="AB163" s="4">
        <f>$K$163*$V$163</f>
        <v>0</v>
      </c>
      <c r="AC163" s="4">
        <f>$M$163*$W$163</f>
        <v>5158.9894999999997</v>
      </c>
      <c r="AD163" s="4">
        <f>$O$163*$X$163</f>
        <v>2088.4584</v>
      </c>
      <c r="AE163" s="4">
        <f>$K$163*$Y$163</f>
        <v>0</v>
      </c>
      <c r="AF163" s="4">
        <f ca="1">$M$163*$Z$163</f>
        <v>5350.5626958130224</v>
      </c>
      <c r="AG163" s="4">
        <f>$O$163*$AA$163</f>
        <v>1946.3296271714366</v>
      </c>
    </row>
    <row r="164" spans="1:33" ht="11.25" customHeight="1" x14ac:dyDescent="0.25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30</v>
      </c>
      <c r="F164" s="3" t="s">
        <v>25</v>
      </c>
      <c r="G164" s="3" t="s">
        <v>25</v>
      </c>
      <c r="H164" s="3" t="s">
        <v>25</v>
      </c>
      <c r="I164" s="6">
        <v>44743</v>
      </c>
      <c r="J164" s="4">
        <v>0</v>
      </c>
      <c r="K164" s="4">
        <v>0</v>
      </c>
      <c r="L164" s="4">
        <v>18.611000000000001</v>
      </c>
      <c r="M164" s="4">
        <v>18.611000000000001</v>
      </c>
      <c r="N164" s="4">
        <v>18.611000000000001</v>
      </c>
      <c r="O164" s="4">
        <v>18.611000000000001</v>
      </c>
      <c r="P164" s="4">
        <v>79</v>
      </c>
      <c r="Q164" s="3" t="s">
        <v>26</v>
      </c>
      <c r="R164" s="3">
        <v>0</v>
      </c>
      <c r="S164" s="4">
        <v>0</v>
      </c>
      <c r="T164" s="4">
        <v>14</v>
      </c>
      <c r="U164" s="4">
        <v>68</v>
      </c>
      <c r="V164" s="4">
        <f>IF(ISERROR(VLOOKUP($S$164,'TAR FIN'!$A$1:$O$88,15,0)),0,VLOOKUP($S$164,'TAR FIN'!$A$1:$O$88,15,0))</f>
        <v>0</v>
      </c>
      <c r="W164" s="4">
        <f>IF(ISERROR(VLOOKUP($T$164,'TAR FIN'!$A$1:$O$88,15,0)),0,VLOOKUP($T$164,'TAR FIN'!$A$1:$O$88,15,0))</f>
        <v>244.85</v>
      </c>
      <c r="X164" s="4">
        <f>IF(ISERROR(VLOOKUP($U$164,'TAR FIN'!$A$1:$O$88,15,0)),0,VLOOKUP($U$164,'TAR FIN'!$A$1:$O$88,15,0))</f>
        <v>99.12</v>
      </c>
      <c r="Y164" s="4"/>
      <c r="Z164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64" s="4">
        <f>('TE BE'!$AB$12+'TE BF'!$AB$12+'TE CVA'!$AB$12)*(1-CUSTOS!$M$35)</f>
        <v>92.374448370737383</v>
      </c>
      <c r="AB164" s="4">
        <f>$K$164*$V$164</f>
        <v>0</v>
      </c>
      <c r="AC164" s="4">
        <f>$M$164*$W$164</f>
        <v>4556.9033500000005</v>
      </c>
      <c r="AD164" s="4">
        <f>$O$164*$X$164</f>
        <v>1844.7223200000001</v>
      </c>
      <c r="AE164" s="4">
        <f>$K$164*$Y$164</f>
        <v>0</v>
      </c>
      <c r="AF164" s="4">
        <f ca="1">$M$164*$Z$164</f>
        <v>4726.1187627800746</v>
      </c>
      <c r="AG164" s="4">
        <f>$O$164*$AA$164</f>
        <v>1719.1808586277934</v>
      </c>
    </row>
    <row r="165" spans="1:33" ht="11.25" customHeight="1" x14ac:dyDescent="0.25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30</v>
      </c>
      <c r="F165" s="3" t="s">
        <v>25</v>
      </c>
      <c r="G165" s="3" t="s">
        <v>25</v>
      </c>
      <c r="H165" s="3" t="s">
        <v>25</v>
      </c>
      <c r="I165" s="6">
        <v>44774</v>
      </c>
      <c r="J165" s="4">
        <v>0</v>
      </c>
      <c r="K165" s="4">
        <v>0</v>
      </c>
      <c r="L165" s="4">
        <v>19.117999999999999</v>
      </c>
      <c r="M165" s="4">
        <v>19.117999999999999</v>
      </c>
      <c r="N165" s="4">
        <v>19.117999999999999</v>
      </c>
      <c r="O165" s="4">
        <v>19.117999999999999</v>
      </c>
      <c r="P165" s="4">
        <v>68</v>
      </c>
      <c r="Q165" s="3" t="s">
        <v>26</v>
      </c>
      <c r="R165" s="3">
        <v>0</v>
      </c>
      <c r="S165" s="4">
        <v>0</v>
      </c>
      <c r="T165" s="4">
        <v>14</v>
      </c>
      <c r="U165" s="4">
        <v>68</v>
      </c>
      <c r="V165" s="4">
        <f>IF(ISERROR(VLOOKUP($S$165,'TAR FIN'!$A$1:$O$88,15,0)),0,VLOOKUP($S$165,'TAR FIN'!$A$1:$O$88,15,0))</f>
        <v>0</v>
      </c>
      <c r="W165" s="4">
        <f>IF(ISERROR(VLOOKUP($T$165,'TAR FIN'!$A$1:$O$88,15,0)),0,VLOOKUP($T$165,'TAR FIN'!$A$1:$O$88,15,0))</f>
        <v>244.85</v>
      </c>
      <c r="X165" s="4">
        <f>IF(ISERROR(VLOOKUP($U$165,'TAR FIN'!$A$1:$O$88,15,0)),0,VLOOKUP($U$165,'TAR FIN'!$A$1:$O$88,15,0))</f>
        <v>99.12</v>
      </c>
      <c r="Y165" s="4"/>
      <c r="Z165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165" s="4">
        <f>('TE BE'!$AB$12+'TE BF'!$AB$12+'TE CVA'!$AB$12)*(1-CUSTOS!$M$35)</f>
        <v>92.374448370737383</v>
      </c>
      <c r="AB165" s="4">
        <f>$K$165*$V$165</f>
        <v>0</v>
      </c>
      <c r="AC165" s="4">
        <f>$M$165*$W$165</f>
        <v>4681.0422999999992</v>
      </c>
      <c r="AD165" s="4">
        <f>$O$165*$X$165</f>
        <v>1894.9761599999999</v>
      </c>
      <c r="AE165" s="4">
        <f>$K$165*$Y$165</f>
        <v>0</v>
      </c>
      <c r="AF165" s="4">
        <f ca="1">$M$165*$Z$165</f>
        <v>4854.8674712175298</v>
      </c>
      <c r="AG165" s="4">
        <f>$O$165*$AA$165</f>
        <v>1766.0147039517572</v>
      </c>
    </row>
    <row r="166" spans="1:33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31</v>
      </c>
      <c r="F166" s="3" t="s">
        <v>25</v>
      </c>
      <c r="G166" s="3" t="s">
        <v>25</v>
      </c>
      <c r="H166" s="3" t="s">
        <v>25</v>
      </c>
      <c r="I166" s="6">
        <v>44440</v>
      </c>
      <c r="J166" s="4">
        <v>0</v>
      </c>
      <c r="K166" s="4">
        <v>0</v>
      </c>
      <c r="L166" s="4">
        <v>12.941000000000001</v>
      </c>
      <c r="M166" s="4">
        <v>12.941000000000001</v>
      </c>
      <c r="N166" s="4">
        <v>12.941000000000001</v>
      </c>
      <c r="O166" s="4">
        <v>12.941000000000001</v>
      </c>
      <c r="P166" s="4">
        <v>91</v>
      </c>
      <c r="Q166" s="3" t="s">
        <v>26</v>
      </c>
      <c r="R166" s="3">
        <v>0</v>
      </c>
      <c r="S166" s="4">
        <v>0</v>
      </c>
      <c r="T166" s="4">
        <v>12</v>
      </c>
      <c r="U166" s="4">
        <v>64</v>
      </c>
      <c r="V166" s="4">
        <f>IF(ISERROR(VLOOKUP($S$166,'TAR FIN'!$A$1:$O$88,15,0)),0,VLOOKUP($S$166,'TAR FIN'!$A$1:$O$88,15,0))</f>
        <v>0</v>
      </c>
      <c r="W166" s="4">
        <f>IF(ISERROR(VLOOKUP($T$166,'TAR FIN'!$A$1:$O$88,15,0)),0,VLOOKUP($T$166,'TAR FIN'!$A$1:$O$88,15,0))</f>
        <v>367.27</v>
      </c>
      <c r="X166" s="4">
        <f>IF(ISERROR(VLOOKUP($U$166,'TAR FIN'!$A$1:$O$88,15,0)),0,VLOOKUP($U$166,'TAR FIN'!$A$1:$O$88,15,0))</f>
        <v>148.69</v>
      </c>
      <c r="Y166" s="4"/>
      <c r="Z166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66" s="4">
        <f>('TE BE'!$AB$13+'TE BF'!$AB$13+'TE CVA'!$AB$13)*(1-CUSTOS!$M$36)</f>
        <v>138.56167255610609</v>
      </c>
      <c r="AB166" s="4">
        <f>$K$166*$V$166</f>
        <v>0</v>
      </c>
      <c r="AC166" s="4">
        <f>$M$166*$W$166</f>
        <v>4752.8410700000004</v>
      </c>
      <c r="AD166" s="4">
        <f>$O$166*$X$166</f>
        <v>1924.1972900000001</v>
      </c>
      <c r="AE166" s="4">
        <f>$K$166*$Y$166</f>
        <v>0</v>
      </c>
      <c r="AF166" s="4">
        <f ca="1">$M$166*$Z$166</f>
        <v>4929.3995144648552</v>
      </c>
      <c r="AG166" s="4">
        <f>$O$166*$AA$166</f>
        <v>1793.126604548569</v>
      </c>
    </row>
    <row r="167" spans="1:33" ht="11.25" customHeight="1" x14ac:dyDescent="0.25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31</v>
      </c>
      <c r="F167" s="3" t="s">
        <v>25</v>
      </c>
      <c r="G167" s="3" t="s">
        <v>25</v>
      </c>
      <c r="H167" s="3" t="s">
        <v>25</v>
      </c>
      <c r="I167" s="6">
        <v>44470</v>
      </c>
      <c r="J167" s="4">
        <v>0</v>
      </c>
      <c r="K167" s="4">
        <v>0</v>
      </c>
      <c r="L167" s="4">
        <v>10.238</v>
      </c>
      <c r="M167" s="4">
        <v>10.238</v>
      </c>
      <c r="N167" s="4">
        <v>10.238</v>
      </c>
      <c r="O167" s="4">
        <v>10.238</v>
      </c>
      <c r="P167" s="4">
        <v>104</v>
      </c>
      <c r="Q167" s="3" t="s">
        <v>26</v>
      </c>
      <c r="R167" s="3">
        <v>0</v>
      </c>
      <c r="S167" s="4">
        <v>0</v>
      </c>
      <c r="T167" s="4">
        <v>12</v>
      </c>
      <c r="U167" s="4">
        <v>64</v>
      </c>
      <c r="V167" s="4">
        <f>IF(ISERROR(VLOOKUP($S$167,'TAR FIN'!$A$1:$O$88,15,0)),0,VLOOKUP($S$167,'TAR FIN'!$A$1:$O$88,15,0))</f>
        <v>0</v>
      </c>
      <c r="W167" s="4">
        <f>IF(ISERROR(VLOOKUP($T$167,'TAR FIN'!$A$1:$O$88,15,0)),0,VLOOKUP($T$167,'TAR FIN'!$A$1:$O$88,15,0))</f>
        <v>367.27</v>
      </c>
      <c r="X167" s="4">
        <f>IF(ISERROR(VLOOKUP($U$167,'TAR FIN'!$A$1:$O$88,15,0)),0,VLOOKUP($U$167,'TAR FIN'!$A$1:$O$88,15,0))</f>
        <v>148.69</v>
      </c>
      <c r="Y167" s="4"/>
      <c r="Z167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67" s="4">
        <f>('TE BE'!$AB$13+'TE BF'!$AB$13+'TE CVA'!$AB$13)*(1-CUSTOS!$M$36)</f>
        <v>138.56167255610609</v>
      </c>
      <c r="AB167" s="4">
        <f>$K$167*$V$167</f>
        <v>0</v>
      </c>
      <c r="AC167" s="4">
        <f>$M$167*$W$167</f>
        <v>3760.1102599999995</v>
      </c>
      <c r="AD167" s="4">
        <f>$O$167*$X$167</f>
        <v>1522.2882199999999</v>
      </c>
      <c r="AE167" s="4">
        <f>$K$167*$Y$167</f>
        <v>0</v>
      </c>
      <c r="AF167" s="4">
        <f ca="1">$M$167*$Z$167</f>
        <v>3899.790760303777</v>
      </c>
      <c r="AG167" s="4">
        <f>$O$167*$AA$167</f>
        <v>1418.594403629414</v>
      </c>
    </row>
    <row r="168" spans="1:33" ht="11.25" customHeight="1" x14ac:dyDescent="0.25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31</v>
      </c>
      <c r="F168" s="3" t="s">
        <v>25</v>
      </c>
      <c r="G168" s="3" t="s">
        <v>25</v>
      </c>
      <c r="H168" s="3" t="s">
        <v>25</v>
      </c>
      <c r="I168" s="6">
        <v>44501</v>
      </c>
      <c r="J168" s="4">
        <v>0</v>
      </c>
      <c r="K168" s="4">
        <v>0</v>
      </c>
      <c r="L168" s="4">
        <v>12.458</v>
      </c>
      <c r="M168" s="4">
        <v>12.458</v>
      </c>
      <c r="N168" s="4">
        <v>12.458</v>
      </c>
      <c r="O168" s="4">
        <v>12.458</v>
      </c>
      <c r="P168" s="4">
        <v>105</v>
      </c>
      <c r="Q168" s="3" t="s">
        <v>26</v>
      </c>
      <c r="R168" s="3">
        <v>0</v>
      </c>
      <c r="S168" s="4">
        <v>0</v>
      </c>
      <c r="T168" s="4">
        <v>12</v>
      </c>
      <c r="U168" s="4">
        <v>64</v>
      </c>
      <c r="V168" s="4">
        <f>IF(ISERROR(VLOOKUP($S$168,'TAR FIN'!$A$1:$O$88,15,0)),0,VLOOKUP($S$168,'TAR FIN'!$A$1:$O$88,15,0))</f>
        <v>0</v>
      </c>
      <c r="W168" s="4">
        <f>IF(ISERROR(VLOOKUP($T$168,'TAR FIN'!$A$1:$O$88,15,0)),0,VLOOKUP($T$168,'TAR FIN'!$A$1:$O$88,15,0))</f>
        <v>367.27</v>
      </c>
      <c r="X168" s="4">
        <f>IF(ISERROR(VLOOKUP($U$168,'TAR FIN'!$A$1:$O$88,15,0)),0,VLOOKUP($U$168,'TAR FIN'!$A$1:$O$88,15,0))</f>
        <v>148.69</v>
      </c>
      <c r="Y168" s="4"/>
      <c r="Z168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68" s="4">
        <f>('TE BE'!$AB$13+'TE BF'!$AB$13+'TE CVA'!$AB$13)*(1-CUSTOS!$M$36)</f>
        <v>138.56167255610609</v>
      </c>
      <c r="AB168" s="4">
        <f>$K$168*$V$168</f>
        <v>0</v>
      </c>
      <c r="AC168" s="4">
        <f>$M$168*$W$168</f>
        <v>4575.4496600000002</v>
      </c>
      <c r="AD168" s="4">
        <f>$O$168*$X$168</f>
        <v>1852.3800200000001</v>
      </c>
      <c r="AE168" s="4">
        <f>$K$168*$Y$168</f>
        <v>0</v>
      </c>
      <c r="AF168" s="4">
        <f ca="1">$M$168*$Z$168</f>
        <v>4745.4183719344064</v>
      </c>
      <c r="AG168" s="4">
        <f>$O$168*$AA$168</f>
        <v>1726.2013167039697</v>
      </c>
    </row>
    <row r="169" spans="1:33" ht="11.25" customHeight="1" x14ac:dyDescent="0.25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31</v>
      </c>
      <c r="F169" s="3" t="s">
        <v>25</v>
      </c>
      <c r="G169" s="3" t="s">
        <v>25</v>
      </c>
      <c r="H169" s="3" t="s">
        <v>25</v>
      </c>
      <c r="I169" s="6">
        <v>44531</v>
      </c>
      <c r="J169" s="4">
        <v>0</v>
      </c>
      <c r="K169" s="4">
        <v>0</v>
      </c>
      <c r="L169" s="4">
        <v>15.427</v>
      </c>
      <c r="M169" s="4">
        <v>15.427</v>
      </c>
      <c r="N169" s="4">
        <v>15.427</v>
      </c>
      <c r="O169" s="4">
        <v>15.427</v>
      </c>
      <c r="P169" s="4">
        <v>97</v>
      </c>
      <c r="Q169" s="3" t="s">
        <v>26</v>
      </c>
      <c r="R169" s="3">
        <v>0</v>
      </c>
      <c r="S169" s="4">
        <v>0</v>
      </c>
      <c r="T169" s="4">
        <v>12</v>
      </c>
      <c r="U169" s="4">
        <v>64</v>
      </c>
      <c r="V169" s="4">
        <f>IF(ISERROR(VLOOKUP($S$169,'TAR FIN'!$A$1:$O$88,15,0)),0,VLOOKUP($S$169,'TAR FIN'!$A$1:$O$88,15,0))</f>
        <v>0</v>
      </c>
      <c r="W169" s="4">
        <f>IF(ISERROR(VLOOKUP($T$169,'TAR FIN'!$A$1:$O$88,15,0)),0,VLOOKUP($T$169,'TAR FIN'!$A$1:$O$88,15,0))</f>
        <v>367.27</v>
      </c>
      <c r="X169" s="4">
        <f>IF(ISERROR(VLOOKUP($U$169,'TAR FIN'!$A$1:$O$88,15,0)),0,VLOOKUP($U$169,'TAR FIN'!$A$1:$O$88,15,0))</f>
        <v>148.69</v>
      </c>
      <c r="Y169" s="4"/>
      <c r="Z169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69" s="4">
        <f>('TE BE'!$AB$13+'TE BF'!$AB$13+'TE CVA'!$AB$13)*(1-CUSTOS!$M$36)</f>
        <v>138.56167255610609</v>
      </c>
      <c r="AB169" s="4">
        <f>$K$169*$V$169</f>
        <v>0</v>
      </c>
      <c r="AC169" s="4">
        <f>$M$169*$W$169</f>
        <v>5665.8742899999997</v>
      </c>
      <c r="AD169" s="4">
        <f>$O$169*$X$169</f>
        <v>2293.8406299999997</v>
      </c>
      <c r="AE169" s="4">
        <f>$K$169*$Y$169</f>
        <v>0</v>
      </c>
      <c r="AF169" s="4">
        <f ca="1">$M$169*$Z$169</f>
        <v>5876.3500741557309</v>
      </c>
      <c r="AG169" s="4">
        <f>$O$169*$AA$169</f>
        <v>2137.5909225230484</v>
      </c>
    </row>
    <row r="170" spans="1:3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31</v>
      </c>
      <c r="F170" s="3" t="s">
        <v>25</v>
      </c>
      <c r="G170" s="3" t="s">
        <v>25</v>
      </c>
      <c r="H170" s="3" t="s">
        <v>25</v>
      </c>
      <c r="I170" s="6">
        <v>44562</v>
      </c>
      <c r="J170" s="4">
        <v>0</v>
      </c>
      <c r="K170" s="4">
        <v>0</v>
      </c>
      <c r="L170" s="4">
        <v>16.670999999999999</v>
      </c>
      <c r="M170" s="4">
        <v>16.670999999999999</v>
      </c>
      <c r="N170" s="4">
        <v>16.670999999999999</v>
      </c>
      <c r="O170" s="4">
        <v>16.670999999999999</v>
      </c>
      <c r="P170" s="4">
        <v>93</v>
      </c>
      <c r="Q170" s="3" t="s">
        <v>26</v>
      </c>
      <c r="R170" s="3">
        <v>0</v>
      </c>
      <c r="S170" s="4">
        <v>0</v>
      </c>
      <c r="T170" s="4">
        <v>12</v>
      </c>
      <c r="U170" s="4">
        <v>64</v>
      </c>
      <c r="V170" s="4">
        <f>IF(ISERROR(VLOOKUP($S$170,'TAR FIN'!$A$1:$O$88,15,0)),0,VLOOKUP($S$170,'TAR FIN'!$A$1:$O$88,15,0))</f>
        <v>0</v>
      </c>
      <c r="W170" s="4">
        <f>IF(ISERROR(VLOOKUP($T$170,'TAR FIN'!$A$1:$O$88,15,0)),0,VLOOKUP($T$170,'TAR FIN'!$A$1:$O$88,15,0))</f>
        <v>367.27</v>
      </c>
      <c r="X170" s="4">
        <f>IF(ISERROR(VLOOKUP($U$170,'TAR FIN'!$A$1:$O$88,15,0)),0,VLOOKUP($U$170,'TAR FIN'!$A$1:$O$88,15,0))</f>
        <v>148.69</v>
      </c>
      <c r="Y170" s="4"/>
      <c r="Z170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0" s="4">
        <f>('TE BE'!$AB$13+'TE BF'!$AB$13+'TE CVA'!$AB$13)*(1-CUSTOS!$M$36)</f>
        <v>138.56167255610609</v>
      </c>
      <c r="AB170" s="4">
        <f>$K$170*$V$170</f>
        <v>0</v>
      </c>
      <c r="AC170" s="4">
        <f>$M$170*$W$170</f>
        <v>6122.7581699999992</v>
      </c>
      <c r="AD170" s="4">
        <f>$O$170*$X$170</f>
        <v>2478.8109899999999</v>
      </c>
      <c r="AE170" s="4">
        <f>$K$170*$Y$170</f>
        <v>0</v>
      </c>
      <c r="AF170" s="4">
        <f ca="1">$M$170*$Z$170</f>
        <v>6350.2062673397413</v>
      </c>
      <c r="AG170" s="4">
        <f>$O$170*$AA$170</f>
        <v>2309.9616431828445</v>
      </c>
    </row>
    <row r="171" spans="1:3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31</v>
      </c>
      <c r="F171" s="3" t="s">
        <v>25</v>
      </c>
      <c r="G171" s="3" t="s">
        <v>25</v>
      </c>
      <c r="H171" s="3" t="s">
        <v>25</v>
      </c>
      <c r="I171" s="6">
        <v>44593</v>
      </c>
      <c r="J171" s="4">
        <v>0</v>
      </c>
      <c r="K171" s="4">
        <v>0</v>
      </c>
      <c r="L171" s="4">
        <v>26.309000000000001</v>
      </c>
      <c r="M171" s="4">
        <v>26.309000000000001</v>
      </c>
      <c r="N171" s="4">
        <v>26.309000000000001</v>
      </c>
      <c r="O171" s="4">
        <v>26.309000000000001</v>
      </c>
      <c r="P171" s="4">
        <v>192</v>
      </c>
      <c r="Q171" s="3" t="s">
        <v>26</v>
      </c>
      <c r="R171" s="3">
        <v>0</v>
      </c>
      <c r="S171" s="4">
        <v>0</v>
      </c>
      <c r="T171" s="4">
        <v>12</v>
      </c>
      <c r="U171" s="4">
        <v>64</v>
      </c>
      <c r="V171" s="4">
        <f>IF(ISERROR(VLOOKUP($S$171,'TAR FIN'!$A$1:$O$88,15,0)),0,VLOOKUP($S$171,'TAR FIN'!$A$1:$O$88,15,0))</f>
        <v>0</v>
      </c>
      <c r="W171" s="4">
        <f>IF(ISERROR(VLOOKUP($T$171,'TAR FIN'!$A$1:$O$88,15,0)),0,VLOOKUP($T$171,'TAR FIN'!$A$1:$O$88,15,0))</f>
        <v>367.27</v>
      </c>
      <c r="X171" s="4">
        <f>IF(ISERROR(VLOOKUP($U$171,'TAR FIN'!$A$1:$O$88,15,0)),0,VLOOKUP($U$171,'TAR FIN'!$A$1:$O$88,15,0))</f>
        <v>148.69</v>
      </c>
      <c r="Y171" s="4"/>
      <c r="Z171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1" s="4">
        <f>('TE BE'!$AB$13+'TE BF'!$AB$13+'TE CVA'!$AB$13)*(1-CUSTOS!$M$36)</f>
        <v>138.56167255610609</v>
      </c>
      <c r="AB171" s="4">
        <f>$K$171*$V$171</f>
        <v>0</v>
      </c>
      <c r="AC171" s="4">
        <f>$M$171*$W$171</f>
        <v>9662.5064299999995</v>
      </c>
      <c r="AD171" s="4">
        <f>$O$171*$X$171</f>
        <v>3911.8852099999999</v>
      </c>
      <c r="AE171" s="4">
        <f>$K$171*$Y$171</f>
        <v>0</v>
      </c>
      <c r="AF171" s="4">
        <f ca="1">$M$171*$Z$171</f>
        <v>10021.449024500105</v>
      </c>
      <c r="AG171" s="4">
        <f>$O$171*$AA$171</f>
        <v>3645.4190432785954</v>
      </c>
    </row>
    <row r="172" spans="1:3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31</v>
      </c>
      <c r="F172" s="3" t="s">
        <v>25</v>
      </c>
      <c r="G172" s="3" t="s">
        <v>25</v>
      </c>
      <c r="H172" s="3" t="s">
        <v>25</v>
      </c>
      <c r="I172" s="6">
        <v>44621</v>
      </c>
      <c r="J172" s="4">
        <v>0</v>
      </c>
      <c r="K172" s="4">
        <v>0</v>
      </c>
      <c r="L172" s="4">
        <v>28.52</v>
      </c>
      <c r="M172" s="4">
        <v>28.52</v>
      </c>
      <c r="N172" s="4">
        <v>28.52</v>
      </c>
      <c r="O172" s="4">
        <v>28.52</v>
      </c>
      <c r="P172" s="4">
        <v>197</v>
      </c>
      <c r="Q172" s="3" t="s">
        <v>26</v>
      </c>
      <c r="R172" s="3">
        <v>0</v>
      </c>
      <c r="S172" s="4">
        <v>0</v>
      </c>
      <c r="T172" s="4">
        <v>12</v>
      </c>
      <c r="U172" s="4">
        <v>64</v>
      </c>
      <c r="V172" s="4">
        <f>IF(ISERROR(VLOOKUP($S$172,'TAR FIN'!$A$1:$O$88,15,0)),0,VLOOKUP($S$172,'TAR FIN'!$A$1:$O$88,15,0))</f>
        <v>0</v>
      </c>
      <c r="W172" s="4">
        <f>IF(ISERROR(VLOOKUP($T$172,'TAR FIN'!$A$1:$O$88,15,0)),0,VLOOKUP($T$172,'TAR FIN'!$A$1:$O$88,15,0))</f>
        <v>367.27</v>
      </c>
      <c r="X172" s="4">
        <f>IF(ISERROR(VLOOKUP($U$172,'TAR FIN'!$A$1:$O$88,15,0)),0,VLOOKUP($U$172,'TAR FIN'!$A$1:$O$88,15,0))</f>
        <v>148.69</v>
      </c>
      <c r="Y172" s="4"/>
      <c r="Z172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2" s="4">
        <f>('TE BE'!$AB$13+'TE BF'!$AB$13+'TE CVA'!$AB$13)*(1-CUSTOS!$M$36)</f>
        <v>138.56167255610609</v>
      </c>
      <c r="AB172" s="4">
        <f>$K$172*$V$172</f>
        <v>0</v>
      </c>
      <c r="AC172" s="4">
        <f>$M$172*$W$172</f>
        <v>10474.5404</v>
      </c>
      <c r="AD172" s="4">
        <f>$O$172*$X$172</f>
        <v>4240.6387999999997</v>
      </c>
      <c r="AE172" s="4">
        <f>$K$172*$Y$172</f>
        <v>0</v>
      </c>
      <c r="AF172" s="4">
        <f ca="1">$M$172*$Z$172</f>
        <v>10863.648416083583</v>
      </c>
      <c r="AG172" s="4">
        <f>$O$172*$AA$172</f>
        <v>3951.7789013001457</v>
      </c>
    </row>
    <row r="173" spans="1:33" ht="11.25" customHeight="1" x14ac:dyDescent="0.25">
      <c r="A173" s="3" t="s">
        <v>21</v>
      </c>
      <c r="B173" s="3" t="s">
        <v>22</v>
      </c>
      <c r="C173" s="3" t="s">
        <v>23</v>
      </c>
      <c r="D173" s="3" t="s">
        <v>24</v>
      </c>
      <c r="E173" s="3" t="s">
        <v>31</v>
      </c>
      <c r="F173" s="3" t="s">
        <v>25</v>
      </c>
      <c r="G173" s="3" t="s">
        <v>25</v>
      </c>
      <c r="H173" s="3" t="s">
        <v>25</v>
      </c>
      <c r="I173" s="6">
        <v>44652</v>
      </c>
      <c r="J173" s="4">
        <v>0</v>
      </c>
      <c r="K173" s="4">
        <v>0</v>
      </c>
      <c r="L173" s="4">
        <v>26.978999999999999</v>
      </c>
      <c r="M173" s="4">
        <v>26.978999999999999</v>
      </c>
      <c r="N173" s="4">
        <v>26.978999999999999</v>
      </c>
      <c r="O173" s="4">
        <v>26.978999999999999</v>
      </c>
      <c r="P173" s="4">
        <v>199</v>
      </c>
      <c r="Q173" s="3" t="s">
        <v>26</v>
      </c>
      <c r="R173" s="3">
        <v>0</v>
      </c>
      <c r="S173" s="4">
        <v>0</v>
      </c>
      <c r="T173" s="4">
        <v>12</v>
      </c>
      <c r="U173" s="4">
        <v>64</v>
      </c>
      <c r="V173" s="4">
        <f>IF(ISERROR(VLOOKUP($S$173,'TAR FIN'!$A$1:$O$88,15,0)),0,VLOOKUP($S$173,'TAR FIN'!$A$1:$O$88,15,0))</f>
        <v>0</v>
      </c>
      <c r="W173" s="4">
        <f>IF(ISERROR(VLOOKUP($T$173,'TAR FIN'!$A$1:$O$88,15,0)),0,VLOOKUP($T$173,'TAR FIN'!$A$1:$O$88,15,0))</f>
        <v>367.27</v>
      </c>
      <c r="X173" s="4">
        <f>IF(ISERROR(VLOOKUP($U$173,'TAR FIN'!$A$1:$O$88,15,0)),0,VLOOKUP($U$173,'TAR FIN'!$A$1:$O$88,15,0))</f>
        <v>148.69</v>
      </c>
      <c r="Y173" s="4"/>
      <c r="Z173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3" s="4">
        <f>('TE BE'!$AB$13+'TE BF'!$AB$13+'TE CVA'!$AB$13)*(1-CUSTOS!$M$36)</f>
        <v>138.56167255610609</v>
      </c>
      <c r="AB173" s="4">
        <f>$K$173*$V$173</f>
        <v>0</v>
      </c>
      <c r="AC173" s="4">
        <f>$M$173*$W$173</f>
        <v>9908.5773300000001</v>
      </c>
      <c r="AD173" s="4">
        <f>$O$173*$X$173</f>
        <v>4011.5075099999999</v>
      </c>
      <c r="AE173" s="4">
        <f>$K$173*$Y$173</f>
        <v>0</v>
      </c>
      <c r="AF173" s="4">
        <f ca="1">$M$173*$Z$173</f>
        <v>10276.660961343583</v>
      </c>
      <c r="AG173" s="4">
        <f>$O$173*$AA$173</f>
        <v>3738.2553638911859</v>
      </c>
    </row>
    <row r="174" spans="1:33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31</v>
      </c>
      <c r="F174" s="3" t="s">
        <v>25</v>
      </c>
      <c r="G174" s="3" t="s">
        <v>25</v>
      </c>
      <c r="H174" s="3" t="s">
        <v>25</v>
      </c>
      <c r="I174" s="6">
        <v>44682</v>
      </c>
      <c r="J174" s="4">
        <v>0</v>
      </c>
      <c r="K174" s="4">
        <v>0</v>
      </c>
      <c r="L174" s="4">
        <v>22.402999999999999</v>
      </c>
      <c r="M174" s="4">
        <v>22.402999999999999</v>
      </c>
      <c r="N174" s="4">
        <v>22.402999999999999</v>
      </c>
      <c r="O174" s="4">
        <v>22.402999999999999</v>
      </c>
      <c r="P174" s="4">
        <v>215</v>
      </c>
      <c r="Q174" s="3" t="s">
        <v>26</v>
      </c>
      <c r="R174" s="3">
        <v>0</v>
      </c>
      <c r="S174" s="4">
        <v>0</v>
      </c>
      <c r="T174" s="4">
        <v>12</v>
      </c>
      <c r="U174" s="4">
        <v>64</v>
      </c>
      <c r="V174" s="4">
        <f>IF(ISERROR(VLOOKUP($S$174,'TAR FIN'!$A$1:$O$88,15,0)),0,VLOOKUP($S$174,'TAR FIN'!$A$1:$O$88,15,0))</f>
        <v>0</v>
      </c>
      <c r="W174" s="4">
        <f>IF(ISERROR(VLOOKUP($T$174,'TAR FIN'!$A$1:$O$88,15,0)),0,VLOOKUP($T$174,'TAR FIN'!$A$1:$O$88,15,0))</f>
        <v>367.27</v>
      </c>
      <c r="X174" s="4">
        <f>IF(ISERROR(VLOOKUP($U$174,'TAR FIN'!$A$1:$O$88,15,0)),0,VLOOKUP($U$174,'TAR FIN'!$A$1:$O$88,15,0))</f>
        <v>148.69</v>
      </c>
      <c r="Y174" s="4"/>
      <c r="Z174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4" s="4">
        <f>('TE BE'!$AB$13+'TE BF'!$AB$13+'TE CVA'!$AB$13)*(1-CUSTOS!$M$36)</f>
        <v>138.56167255610609</v>
      </c>
      <c r="AB174" s="4">
        <f>$K$174*$V$174</f>
        <v>0</v>
      </c>
      <c r="AC174" s="4">
        <f>$M$174*$W$174</f>
        <v>8227.9498099999983</v>
      </c>
      <c r="AD174" s="4">
        <f>$O$174*$X$174</f>
        <v>3331.1020699999999</v>
      </c>
      <c r="AE174" s="4">
        <f>$K$174*$Y$174</f>
        <v>0</v>
      </c>
      <c r="AF174" s="4">
        <f ca="1">$M$174*$Z$174</f>
        <v>8533.6015240364832</v>
      </c>
      <c r="AG174" s="4">
        <f>$O$174*$AA$174</f>
        <v>3104.1971502744445</v>
      </c>
    </row>
    <row r="175" spans="1:3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31</v>
      </c>
      <c r="F175" s="3" t="s">
        <v>25</v>
      </c>
      <c r="G175" s="3" t="s">
        <v>25</v>
      </c>
      <c r="H175" s="3" t="s">
        <v>25</v>
      </c>
      <c r="I175" s="6">
        <v>44713</v>
      </c>
      <c r="J175" s="4">
        <v>0</v>
      </c>
      <c r="K175" s="4">
        <v>0</v>
      </c>
      <c r="L175" s="4">
        <v>22.442</v>
      </c>
      <c r="M175" s="4">
        <v>22.442</v>
      </c>
      <c r="N175" s="4">
        <v>22.442</v>
      </c>
      <c r="O175" s="4">
        <v>22.442</v>
      </c>
      <c r="P175" s="4">
        <v>151</v>
      </c>
      <c r="Q175" s="3" t="s">
        <v>26</v>
      </c>
      <c r="R175" s="3">
        <v>0</v>
      </c>
      <c r="S175" s="4">
        <v>0</v>
      </c>
      <c r="T175" s="4">
        <v>12</v>
      </c>
      <c r="U175" s="4">
        <v>64</v>
      </c>
      <c r="V175" s="4">
        <f>IF(ISERROR(VLOOKUP($S$175,'TAR FIN'!$A$1:$O$88,15,0)),0,VLOOKUP($S$175,'TAR FIN'!$A$1:$O$88,15,0))</f>
        <v>0</v>
      </c>
      <c r="W175" s="4">
        <f>IF(ISERROR(VLOOKUP($T$175,'TAR FIN'!$A$1:$O$88,15,0)),0,VLOOKUP($T$175,'TAR FIN'!$A$1:$O$88,15,0))</f>
        <v>367.27</v>
      </c>
      <c r="X175" s="4">
        <f>IF(ISERROR(VLOOKUP($U$175,'TAR FIN'!$A$1:$O$88,15,0)),0,VLOOKUP($U$175,'TAR FIN'!$A$1:$O$88,15,0))</f>
        <v>148.69</v>
      </c>
      <c r="Y175" s="4"/>
      <c r="Z175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5" s="4">
        <f>('TE BE'!$AB$13+'TE BF'!$AB$13+'TE CVA'!$AB$13)*(1-CUSTOS!$M$36)</f>
        <v>138.56167255610609</v>
      </c>
      <c r="AB175" s="4">
        <f>$K$175*$V$175</f>
        <v>0</v>
      </c>
      <c r="AC175" s="4">
        <f>$M$175*$W$175</f>
        <v>8242.2733399999997</v>
      </c>
      <c r="AD175" s="4">
        <f>$O$175*$X$175</f>
        <v>3336.9009799999999</v>
      </c>
      <c r="AE175" s="4">
        <f>$K$175*$Y$175</f>
        <v>0</v>
      </c>
      <c r="AF175" s="4">
        <f ca="1">$M$175*$Z$175</f>
        <v>8548.4571442408051</v>
      </c>
      <c r="AG175" s="4">
        <f>$O$175*$AA$175</f>
        <v>3109.601055504133</v>
      </c>
    </row>
    <row r="176" spans="1:33" ht="11.25" customHeight="1" x14ac:dyDescent="0.25">
      <c r="A176" s="3" t="s">
        <v>21</v>
      </c>
      <c r="B176" s="3" t="s">
        <v>22</v>
      </c>
      <c r="C176" s="3" t="s">
        <v>23</v>
      </c>
      <c r="D176" s="3" t="s">
        <v>24</v>
      </c>
      <c r="E176" s="3" t="s">
        <v>31</v>
      </c>
      <c r="F176" s="3" t="s">
        <v>25</v>
      </c>
      <c r="G176" s="3" t="s">
        <v>25</v>
      </c>
      <c r="H176" s="3" t="s">
        <v>25</v>
      </c>
      <c r="I176" s="6">
        <v>44743</v>
      </c>
      <c r="J176" s="4">
        <v>0</v>
      </c>
      <c r="K176" s="4">
        <v>0</v>
      </c>
      <c r="L176" s="4">
        <v>16.286000000000001</v>
      </c>
      <c r="M176" s="4">
        <v>16.286000000000001</v>
      </c>
      <c r="N176" s="4">
        <v>16.286000000000001</v>
      </c>
      <c r="O176" s="4">
        <v>16.286000000000001</v>
      </c>
      <c r="P176" s="4">
        <v>159</v>
      </c>
      <c r="Q176" s="3" t="s">
        <v>26</v>
      </c>
      <c r="R176" s="3">
        <v>0</v>
      </c>
      <c r="S176" s="4">
        <v>0</v>
      </c>
      <c r="T176" s="4">
        <v>12</v>
      </c>
      <c r="U176" s="4">
        <v>64</v>
      </c>
      <c r="V176" s="4">
        <f>IF(ISERROR(VLOOKUP($S$176,'TAR FIN'!$A$1:$O$88,15,0)),0,VLOOKUP($S$176,'TAR FIN'!$A$1:$O$88,15,0))</f>
        <v>0</v>
      </c>
      <c r="W176" s="4">
        <f>IF(ISERROR(VLOOKUP($T$176,'TAR FIN'!$A$1:$O$88,15,0)),0,VLOOKUP($T$176,'TAR FIN'!$A$1:$O$88,15,0))</f>
        <v>367.27</v>
      </c>
      <c r="X176" s="4">
        <f>IF(ISERROR(VLOOKUP($U$176,'TAR FIN'!$A$1:$O$88,15,0)),0,VLOOKUP($U$176,'TAR FIN'!$A$1:$O$88,15,0))</f>
        <v>148.69</v>
      </c>
      <c r="Y176" s="4"/>
      <c r="Z176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6" s="4">
        <f>('TE BE'!$AB$13+'TE BF'!$AB$13+'TE CVA'!$AB$13)*(1-CUSTOS!$M$36)</f>
        <v>138.56167255610609</v>
      </c>
      <c r="AB176" s="4">
        <f>$K$176*$V$176</f>
        <v>0</v>
      </c>
      <c r="AC176" s="4">
        <f>$M$176*$W$176</f>
        <v>5981.3592200000003</v>
      </c>
      <c r="AD176" s="4">
        <f>$O$176*$X$176</f>
        <v>2421.5653400000001</v>
      </c>
      <c r="AE176" s="4">
        <f>$K$176*$Y$176</f>
        <v>0</v>
      </c>
      <c r="AF176" s="4">
        <f ca="1">$M$176*$Z$176</f>
        <v>6203.5546319893847</v>
      </c>
      <c r="AG176" s="4">
        <f>$O$176*$AA$176</f>
        <v>2256.6153992487439</v>
      </c>
    </row>
    <row r="177" spans="1:33" ht="11.25" customHeight="1" x14ac:dyDescent="0.2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31</v>
      </c>
      <c r="F177" s="3" t="s">
        <v>25</v>
      </c>
      <c r="G177" s="3" t="s">
        <v>25</v>
      </c>
      <c r="H177" s="3" t="s">
        <v>25</v>
      </c>
      <c r="I177" s="6">
        <v>44774</v>
      </c>
      <c r="J177" s="4">
        <v>0</v>
      </c>
      <c r="K177" s="4">
        <v>0</v>
      </c>
      <c r="L177" s="4">
        <v>18.670999999999999</v>
      </c>
      <c r="M177" s="4">
        <v>18.670999999999999</v>
      </c>
      <c r="N177" s="4">
        <v>18.670999999999999</v>
      </c>
      <c r="O177" s="4">
        <v>18.670999999999999</v>
      </c>
      <c r="P177" s="4">
        <v>162</v>
      </c>
      <c r="Q177" s="3" t="s">
        <v>26</v>
      </c>
      <c r="R177" s="3">
        <v>0</v>
      </c>
      <c r="S177" s="4">
        <v>0</v>
      </c>
      <c r="T177" s="4">
        <v>12</v>
      </c>
      <c r="U177" s="4">
        <v>64</v>
      </c>
      <c r="V177" s="4">
        <f>IF(ISERROR(VLOOKUP($S$177,'TAR FIN'!$A$1:$O$88,15,0)),0,VLOOKUP($S$177,'TAR FIN'!$A$1:$O$88,15,0))</f>
        <v>0</v>
      </c>
      <c r="W177" s="4">
        <f>IF(ISERROR(VLOOKUP($T$177,'TAR FIN'!$A$1:$O$88,15,0)),0,VLOOKUP($T$177,'TAR FIN'!$A$1:$O$88,15,0))</f>
        <v>367.27</v>
      </c>
      <c r="X177" s="4">
        <f>IF(ISERROR(VLOOKUP($U$177,'TAR FIN'!$A$1:$O$88,15,0)),0,VLOOKUP($U$177,'TAR FIN'!$A$1:$O$88,15,0))</f>
        <v>148.69</v>
      </c>
      <c r="Y177" s="4"/>
      <c r="Z177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177" s="4">
        <f>('TE BE'!$AB$13+'TE BF'!$AB$13+'TE CVA'!$AB$13)*(1-CUSTOS!$M$36)</f>
        <v>138.56167255610609</v>
      </c>
      <c r="AB177" s="4">
        <f>$K$177*$V$177</f>
        <v>0</v>
      </c>
      <c r="AC177" s="4">
        <f>$M$177*$W$177</f>
        <v>6857.2981699999991</v>
      </c>
      <c r="AD177" s="4">
        <f>$O$177*$X$177</f>
        <v>2776.1909900000001</v>
      </c>
      <c r="AE177" s="4">
        <f>$K$177*$Y$177</f>
        <v>0</v>
      </c>
      <c r="AF177" s="4">
        <f ca="1">$M$177*$Z$177</f>
        <v>7112.0329444844519</v>
      </c>
      <c r="AG177" s="4">
        <f>$O$177*$AA$177</f>
        <v>2587.0849882950565</v>
      </c>
    </row>
    <row r="178" spans="1:33" ht="11.25" customHeight="1" x14ac:dyDescent="0.25">
      <c r="A178" s="3" t="s">
        <v>21</v>
      </c>
      <c r="B178" s="3" t="s">
        <v>22</v>
      </c>
      <c r="C178" s="3" t="s">
        <v>23</v>
      </c>
      <c r="D178" s="3" t="s">
        <v>24</v>
      </c>
      <c r="E178" s="3" t="s">
        <v>32</v>
      </c>
      <c r="F178" s="3" t="s">
        <v>25</v>
      </c>
      <c r="G178" s="3" t="s">
        <v>25</v>
      </c>
      <c r="H178" s="3" t="s">
        <v>25</v>
      </c>
      <c r="I178" s="6">
        <v>44440</v>
      </c>
      <c r="J178" s="4">
        <v>0</v>
      </c>
      <c r="K178" s="4">
        <v>0</v>
      </c>
      <c r="L178" s="4">
        <v>5.3769999999999998</v>
      </c>
      <c r="M178" s="4">
        <v>5.3769999999999998</v>
      </c>
      <c r="N178" s="4">
        <v>5.3769999999999998</v>
      </c>
      <c r="O178" s="4">
        <v>5.3769999999999998</v>
      </c>
      <c r="P178" s="4">
        <v>68</v>
      </c>
      <c r="Q178" s="3" t="s">
        <v>26</v>
      </c>
      <c r="R178" s="3">
        <v>0</v>
      </c>
      <c r="S178" s="4">
        <v>0</v>
      </c>
      <c r="T178" s="4">
        <v>18</v>
      </c>
      <c r="U178" s="4">
        <v>80</v>
      </c>
      <c r="V178" s="4">
        <f>IF(ISERROR(VLOOKUP($S$178,'TAR FIN'!$A$1:$O$88,15,0)),0,VLOOKUP($S$178,'TAR FIN'!$A$1:$O$88,15,0))</f>
        <v>0</v>
      </c>
      <c r="W178" s="4">
        <f>IF(ISERROR(VLOOKUP($T$178,'TAR FIN'!$A$1:$O$88,15,0)),0,VLOOKUP($T$178,'TAR FIN'!$A$1:$O$88,15,0))</f>
        <v>408.08</v>
      </c>
      <c r="X178" s="4">
        <f>IF(ISERROR(VLOOKUP($U$178,'TAR FIN'!$A$1:$O$88,15,0)),0,VLOOKUP($U$178,'TAR FIN'!$A$1:$O$88,15,0))</f>
        <v>165.21</v>
      </c>
      <c r="Y178" s="4"/>
      <c r="Z178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78" s="4">
        <f>('TE BE'!$AB$14+'TE BF'!$AB$14+'TE CVA'!$AB$14)*(1-CUSTOS!$M$37)</f>
        <v>153.95741395122897</v>
      </c>
      <c r="AB178" s="4">
        <f>$K$178*$V$178</f>
        <v>0</v>
      </c>
      <c r="AC178" s="4">
        <f>$M$178*$W$178</f>
        <v>2194.2461599999997</v>
      </c>
      <c r="AD178" s="4">
        <f>$O$178*$X$178</f>
        <v>888.33416999999997</v>
      </c>
      <c r="AE178" s="4">
        <f>$K$178*$Y$178</f>
        <v>0</v>
      </c>
      <c r="AF178" s="4">
        <f ca="1">$M$178*$Z$178</f>
        <v>2275.7455794483958</v>
      </c>
      <c r="AG178" s="4">
        <f>$O$178*$AA$178</f>
        <v>827.82901481575811</v>
      </c>
    </row>
    <row r="179" spans="1:33" ht="11.25" customHeight="1" x14ac:dyDescent="0.25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32</v>
      </c>
      <c r="F179" s="3" t="s">
        <v>25</v>
      </c>
      <c r="G179" s="3" t="s">
        <v>25</v>
      </c>
      <c r="H179" s="3" t="s">
        <v>25</v>
      </c>
      <c r="I179" s="6">
        <v>44470</v>
      </c>
      <c r="J179" s="4">
        <v>0</v>
      </c>
      <c r="K179" s="4">
        <v>0</v>
      </c>
      <c r="L179" s="4">
        <v>2.8479999999999999</v>
      </c>
      <c r="M179" s="4">
        <v>2.8479999999999999</v>
      </c>
      <c r="N179" s="4">
        <v>2.8479999999999999</v>
      </c>
      <c r="O179" s="4">
        <v>2.8479999999999999</v>
      </c>
      <c r="P179" s="4">
        <v>41</v>
      </c>
      <c r="Q179" s="3" t="s">
        <v>26</v>
      </c>
      <c r="R179" s="3">
        <v>0</v>
      </c>
      <c r="S179" s="4">
        <v>0</v>
      </c>
      <c r="T179" s="4">
        <v>18</v>
      </c>
      <c r="U179" s="4">
        <v>80</v>
      </c>
      <c r="V179" s="4">
        <f>IF(ISERROR(VLOOKUP($S$179,'TAR FIN'!$A$1:$O$88,15,0)),0,VLOOKUP($S$179,'TAR FIN'!$A$1:$O$88,15,0))</f>
        <v>0</v>
      </c>
      <c r="W179" s="4">
        <f>IF(ISERROR(VLOOKUP($T$179,'TAR FIN'!$A$1:$O$88,15,0)),0,VLOOKUP($T$179,'TAR FIN'!$A$1:$O$88,15,0))</f>
        <v>408.08</v>
      </c>
      <c r="X179" s="4">
        <f>IF(ISERROR(VLOOKUP($U$179,'TAR FIN'!$A$1:$O$88,15,0)),0,VLOOKUP($U$179,'TAR FIN'!$A$1:$O$88,15,0))</f>
        <v>165.21</v>
      </c>
      <c r="Y179" s="4"/>
      <c r="Z179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79" s="4">
        <f>('TE BE'!$AB$14+'TE BF'!$AB$14+'TE CVA'!$AB$14)*(1-CUSTOS!$M$37)</f>
        <v>153.95741395122897</v>
      </c>
      <c r="AB179" s="4">
        <f>$K$179*$V$179</f>
        <v>0</v>
      </c>
      <c r="AC179" s="4">
        <f>$M$179*$W$179</f>
        <v>1162.2118399999999</v>
      </c>
      <c r="AD179" s="4">
        <f>$O$179*$X$179</f>
        <v>470.51808</v>
      </c>
      <c r="AE179" s="4">
        <f>$K$179*$Y$179</f>
        <v>0</v>
      </c>
      <c r="AF179" s="4">
        <f ca="1">$M$179*$Z$179</f>
        <v>1205.3790980600766</v>
      </c>
      <c r="AG179" s="4">
        <f>$O$179*$AA$179</f>
        <v>438.47071493310011</v>
      </c>
    </row>
    <row r="180" spans="1:33" ht="11.25" customHeight="1" x14ac:dyDescent="0.25">
      <c r="A180" s="3" t="s">
        <v>21</v>
      </c>
      <c r="B180" s="3" t="s">
        <v>22</v>
      </c>
      <c r="C180" s="3" t="s">
        <v>23</v>
      </c>
      <c r="D180" s="3" t="s">
        <v>24</v>
      </c>
      <c r="E180" s="3" t="s">
        <v>32</v>
      </c>
      <c r="F180" s="3" t="s">
        <v>25</v>
      </c>
      <c r="G180" s="3" t="s">
        <v>25</v>
      </c>
      <c r="H180" s="3" t="s">
        <v>25</v>
      </c>
      <c r="I180" s="6">
        <v>44501</v>
      </c>
      <c r="J180" s="4">
        <v>0</v>
      </c>
      <c r="K180" s="4">
        <v>0</v>
      </c>
      <c r="L180" s="4">
        <v>4.7279999999999998</v>
      </c>
      <c r="M180" s="4">
        <v>4.7279999999999998</v>
      </c>
      <c r="N180" s="4">
        <v>4.7279999999999998</v>
      </c>
      <c r="O180" s="4">
        <v>4.7279999999999998</v>
      </c>
      <c r="P180" s="4">
        <v>57</v>
      </c>
      <c r="Q180" s="3" t="s">
        <v>26</v>
      </c>
      <c r="R180" s="3">
        <v>0</v>
      </c>
      <c r="S180" s="4">
        <v>0</v>
      </c>
      <c r="T180" s="4">
        <v>18</v>
      </c>
      <c r="U180" s="4">
        <v>80</v>
      </c>
      <c r="V180" s="4">
        <f>IF(ISERROR(VLOOKUP($S$180,'TAR FIN'!$A$1:$O$88,15,0)),0,VLOOKUP($S$180,'TAR FIN'!$A$1:$O$88,15,0))</f>
        <v>0</v>
      </c>
      <c r="W180" s="4">
        <f>IF(ISERROR(VLOOKUP($T$180,'TAR FIN'!$A$1:$O$88,15,0)),0,VLOOKUP($T$180,'TAR FIN'!$A$1:$O$88,15,0))</f>
        <v>408.08</v>
      </c>
      <c r="X180" s="4">
        <f>IF(ISERROR(VLOOKUP($U$180,'TAR FIN'!$A$1:$O$88,15,0)),0,VLOOKUP($U$180,'TAR FIN'!$A$1:$O$88,15,0))</f>
        <v>165.21</v>
      </c>
      <c r="Y180" s="4"/>
      <c r="Z180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0" s="4">
        <f>('TE BE'!$AB$14+'TE BF'!$AB$14+'TE CVA'!$AB$14)*(1-CUSTOS!$M$37)</f>
        <v>153.95741395122897</v>
      </c>
      <c r="AB180" s="4">
        <f>$K$180*$V$180</f>
        <v>0</v>
      </c>
      <c r="AC180" s="4">
        <f>$M$180*$W$180</f>
        <v>1929.4022399999999</v>
      </c>
      <c r="AD180" s="4">
        <f>$O$180*$X$180</f>
        <v>781.11288000000002</v>
      </c>
      <c r="AE180" s="4">
        <f>$K$180*$Y$180</f>
        <v>0</v>
      </c>
      <c r="AF180" s="4">
        <f ca="1">$M$180*$Z$180</f>
        <v>2001.0647386334417</v>
      </c>
      <c r="AG180" s="4">
        <f>$O$180*$AA$180</f>
        <v>727.91065316141055</v>
      </c>
    </row>
    <row r="181" spans="1:3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32</v>
      </c>
      <c r="F181" s="3" t="s">
        <v>25</v>
      </c>
      <c r="G181" s="3" t="s">
        <v>25</v>
      </c>
      <c r="H181" s="3" t="s">
        <v>25</v>
      </c>
      <c r="I181" s="6">
        <v>44531</v>
      </c>
      <c r="J181" s="4">
        <v>0</v>
      </c>
      <c r="K181" s="4">
        <v>0</v>
      </c>
      <c r="L181" s="4">
        <v>7.8019999999999996</v>
      </c>
      <c r="M181" s="4">
        <v>7.8019999999999996</v>
      </c>
      <c r="N181" s="4">
        <v>7.8019999999999996</v>
      </c>
      <c r="O181" s="4">
        <v>7.8019999999999996</v>
      </c>
      <c r="P181" s="4">
        <v>79</v>
      </c>
      <c r="Q181" s="3" t="s">
        <v>26</v>
      </c>
      <c r="R181" s="3">
        <v>0</v>
      </c>
      <c r="S181" s="4">
        <v>0</v>
      </c>
      <c r="T181" s="4">
        <v>18</v>
      </c>
      <c r="U181" s="4">
        <v>80</v>
      </c>
      <c r="V181" s="4">
        <f>IF(ISERROR(VLOOKUP($S$181,'TAR FIN'!$A$1:$O$88,15,0)),0,VLOOKUP($S$181,'TAR FIN'!$A$1:$O$88,15,0))</f>
        <v>0</v>
      </c>
      <c r="W181" s="4">
        <f>IF(ISERROR(VLOOKUP($T$181,'TAR FIN'!$A$1:$O$88,15,0)),0,VLOOKUP($T$181,'TAR FIN'!$A$1:$O$88,15,0))</f>
        <v>408.08</v>
      </c>
      <c r="X181" s="4">
        <f>IF(ISERROR(VLOOKUP($U$181,'TAR FIN'!$A$1:$O$88,15,0)),0,VLOOKUP($U$181,'TAR FIN'!$A$1:$O$88,15,0))</f>
        <v>165.21</v>
      </c>
      <c r="Y181" s="4"/>
      <c r="Z181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1" s="4">
        <f>('TE BE'!$AB$14+'TE BF'!$AB$14+'TE CVA'!$AB$14)*(1-CUSTOS!$M$37)</f>
        <v>153.95741395122897</v>
      </c>
      <c r="AB181" s="4">
        <f>$K$181*$V$181</f>
        <v>0</v>
      </c>
      <c r="AC181" s="4">
        <f>$M$181*$W$181</f>
        <v>3183.8401599999997</v>
      </c>
      <c r="AD181" s="4">
        <f>$O$181*$X$181</f>
        <v>1288.9684199999999</v>
      </c>
      <c r="AE181" s="4">
        <f>$K$181*$Y$181</f>
        <v>0</v>
      </c>
      <c r="AF181" s="4">
        <f ca="1">$M$181*$Z$181</f>
        <v>3302.0954083794654</v>
      </c>
      <c r="AG181" s="4">
        <f>$O$181*$AA$181</f>
        <v>1201.1757436474884</v>
      </c>
    </row>
    <row r="182" spans="1:33" ht="11.25" customHeight="1" x14ac:dyDescent="0.25">
      <c r="A182" s="3" t="s">
        <v>21</v>
      </c>
      <c r="B182" s="3" t="s">
        <v>22</v>
      </c>
      <c r="C182" s="3" t="s">
        <v>23</v>
      </c>
      <c r="D182" s="3" t="s">
        <v>24</v>
      </c>
      <c r="E182" s="3" t="s">
        <v>32</v>
      </c>
      <c r="F182" s="3" t="s">
        <v>25</v>
      </c>
      <c r="G182" s="3" t="s">
        <v>25</v>
      </c>
      <c r="H182" s="3" t="s">
        <v>25</v>
      </c>
      <c r="I182" s="6">
        <v>44562</v>
      </c>
      <c r="J182" s="4">
        <v>0</v>
      </c>
      <c r="K182" s="4">
        <v>0</v>
      </c>
      <c r="L182" s="4">
        <v>10.47</v>
      </c>
      <c r="M182" s="4">
        <v>10.47</v>
      </c>
      <c r="N182" s="4">
        <v>10.47</v>
      </c>
      <c r="O182" s="4">
        <v>10.47</v>
      </c>
      <c r="P182" s="4">
        <v>91</v>
      </c>
      <c r="Q182" s="3" t="s">
        <v>26</v>
      </c>
      <c r="R182" s="3">
        <v>0</v>
      </c>
      <c r="S182" s="4">
        <v>0</v>
      </c>
      <c r="T182" s="4">
        <v>18</v>
      </c>
      <c r="U182" s="4">
        <v>80</v>
      </c>
      <c r="V182" s="4">
        <f>IF(ISERROR(VLOOKUP($S$182,'TAR FIN'!$A$1:$O$88,15,0)),0,VLOOKUP($S$182,'TAR FIN'!$A$1:$O$88,15,0))</f>
        <v>0</v>
      </c>
      <c r="W182" s="4">
        <f>IF(ISERROR(VLOOKUP($T$182,'TAR FIN'!$A$1:$O$88,15,0)),0,VLOOKUP($T$182,'TAR FIN'!$A$1:$O$88,15,0))</f>
        <v>408.08</v>
      </c>
      <c r="X182" s="4">
        <f>IF(ISERROR(VLOOKUP($U$182,'TAR FIN'!$A$1:$O$88,15,0)),0,VLOOKUP($U$182,'TAR FIN'!$A$1:$O$88,15,0))</f>
        <v>165.21</v>
      </c>
      <c r="Y182" s="4"/>
      <c r="Z182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2" s="4">
        <f>('TE BE'!$AB$14+'TE BF'!$AB$14+'TE CVA'!$AB$14)*(1-CUSTOS!$M$37)</f>
        <v>153.95741395122897</v>
      </c>
      <c r="AB182" s="4">
        <f>$K$182*$V$182</f>
        <v>0</v>
      </c>
      <c r="AC182" s="4">
        <f>$M$182*$W$182</f>
        <v>4272.5976000000001</v>
      </c>
      <c r="AD182" s="4">
        <f>$O$182*$X$182</f>
        <v>1729.7487000000001</v>
      </c>
      <c r="AE182" s="4">
        <f>$K$182*$Y$182</f>
        <v>0</v>
      </c>
      <c r="AF182" s="4">
        <f ca="1">$M$182*$Z$182</f>
        <v>4431.2918387250711</v>
      </c>
      <c r="AG182" s="4">
        <f>$O$182*$AA$182</f>
        <v>1611.9341240693675</v>
      </c>
    </row>
    <row r="183" spans="1:3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32</v>
      </c>
      <c r="F183" s="3" t="s">
        <v>25</v>
      </c>
      <c r="G183" s="3" t="s">
        <v>25</v>
      </c>
      <c r="H183" s="3" t="s">
        <v>25</v>
      </c>
      <c r="I183" s="6">
        <v>44593</v>
      </c>
      <c r="J183" s="4">
        <v>0</v>
      </c>
      <c r="K183" s="4">
        <v>0</v>
      </c>
      <c r="L183" s="4">
        <v>14.282</v>
      </c>
      <c r="M183" s="4">
        <v>14.282</v>
      </c>
      <c r="N183" s="4">
        <v>14.282</v>
      </c>
      <c r="O183" s="4">
        <v>14.282</v>
      </c>
      <c r="P183" s="4">
        <v>122</v>
      </c>
      <c r="Q183" s="3" t="s">
        <v>26</v>
      </c>
      <c r="R183" s="3">
        <v>0</v>
      </c>
      <c r="S183" s="4">
        <v>0</v>
      </c>
      <c r="T183" s="4">
        <v>18</v>
      </c>
      <c r="U183" s="4">
        <v>80</v>
      </c>
      <c r="V183" s="4">
        <f>IF(ISERROR(VLOOKUP($S$183,'TAR FIN'!$A$1:$O$88,15,0)),0,VLOOKUP($S$183,'TAR FIN'!$A$1:$O$88,15,0))</f>
        <v>0</v>
      </c>
      <c r="W183" s="4">
        <f>IF(ISERROR(VLOOKUP($T$183,'TAR FIN'!$A$1:$O$88,15,0)),0,VLOOKUP($T$183,'TAR FIN'!$A$1:$O$88,15,0))</f>
        <v>408.08</v>
      </c>
      <c r="X183" s="4">
        <f>IF(ISERROR(VLOOKUP($U$183,'TAR FIN'!$A$1:$O$88,15,0)),0,VLOOKUP($U$183,'TAR FIN'!$A$1:$O$88,15,0))</f>
        <v>165.21</v>
      </c>
      <c r="Y183" s="4"/>
      <c r="Z183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3" s="4">
        <f>('TE BE'!$AB$14+'TE BF'!$AB$14+'TE CVA'!$AB$14)*(1-CUSTOS!$M$37)</f>
        <v>153.95741395122897</v>
      </c>
      <c r="AB183" s="4">
        <f>$K$183*$V$183</f>
        <v>0</v>
      </c>
      <c r="AC183" s="4">
        <f>$M$183*$W$183</f>
        <v>5828.1985599999998</v>
      </c>
      <c r="AD183" s="4">
        <f>$O$183*$X$183</f>
        <v>2359.5292199999999</v>
      </c>
      <c r="AE183" s="4">
        <f>$K$183*$Y$183</f>
        <v>0</v>
      </c>
      <c r="AF183" s="4">
        <f ca="1">$M$183*$Z$183</f>
        <v>6044.6714461004267</v>
      </c>
      <c r="AG183" s="4">
        <f>$O$183*$AA$183</f>
        <v>2198.819786051452</v>
      </c>
    </row>
    <row r="184" spans="1:33" ht="11.25" customHeight="1" x14ac:dyDescent="0.25">
      <c r="A184" s="3" t="s">
        <v>21</v>
      </c>
      <c r="B184" s="3" t="s">
        <v>22</v>
      </c>
      <c r="C184" s="3" t="s">
        <v>23</v>
      </c>
      <c r="D184" s="3" t="s">
        <v>24</v>
      </c>
      <c r="E184" s="3" t="s">
        <v>32</v>
      </c>
      <c r="F184" s="3" t="s">
        <v>25</v>
      </c>
      <c r="G184" s="3" t="s">
        <v>25</v>
      </c>
      <c r="H184" s="3" t="s">
        <v>25</v>
      </c>
      <c r="I184" s="6">
        <v>44621</v>
      </c>
      <c r="J184" s="4">
        <v>0</v>
      </c>
      <c r="K184" s="4">
        <v>0</v>
      </c>
      <c r="L184" s="4">
        <v>15.81</v>
      </c>
      <c r="M184" s="4">
        <v>15.81</v>
      </c>
      <c r="N184" s="4">
        <v>15.81</v>
      </c>
      <c r="O184" s="4">
        <v>15.81</v>
      </c>
      <c r="P184" s="4">
        <v>139</v>
      </c>
      <c r="Q184" s="3" t="s">
        <v>26</v>
      </c>
      <c r="R184" s="3">
        <v>0</v>
      </c>
      <c r="S184" s="4">
        <v>0</v>
      </c>
      <c r="T184" s="4">
        <v>18</v>
      </c>
      <c r="U184" s="4">
        <v>80</v>
      </c>
      <c r="V184" s="4">
        <f>IF(ISERROR(VLOOKUP($S$184,'TAR FIN'!$A$1:$O$88,15,0)),0,VLOOKUP($S$184,'TAR FIN'!$A$1:$O$88,15,0))</f>
        <v>0</v>
      </c>
      <c r="W184" s="4">
        <f>IF(ISERROR(VLOOKUP($T$184,'TAR FIN'!$A$1:$O$88,15,0)),0,VLOOKUP($T$184,'TAR FIN'!$A$1:$O$88,15,0))</f>
        <v>408.08</v>
      </c>
      <c r="X184" s="4">
        <f>IF(ISERROR(VLOOKUP($U$184,'TAR FIN'!$A$1:$O$88,15,0)),0,VLOOKUP($U$184,'TAR FIN'!$A$1:$O$88,15,0))</f>
        <v>165.21</v>
      </c>
      <c r="Y184" s="4"/>
      <c r="Z184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4" s="4">
        <f>('TE BE'!$AB$14+'TE BF'!$AB$14+'TE CVA'!$AB$14)*(1-CUSTOS!$M$37)</f>
        <v>153.95741395122897</v>
      </c>
      <c r="AB184" s="4">
        <f>$K$184*$V$184</f>
        <v>0</v>
      </c>
      <c r="AC184" s="4">
        <f>$M$184*$W$184</f>
        <v>6451.7448000000004</v>
      </c>
      <c r="AD184" s="4">
        <f>$O$184*$X$184</f>
        <v>2611.9701</v>
      </c>
      <c r="AE184" s="4">
        <f>$K$184*$Y$184</f>
        <v>0</v>
      </c>
      <c r="AF184" s="4">
        <f ca="1">$M$184*$Z$184</f>
        <v>6691.3776475877148</v>
      </c>
      <c r="AG184" s="4">
        <f>$O$184*$AA$184</f>
        <v>2434.0667145689299</v>
      </c>
    </row>
    <row r="185" spans="1:3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32</v>
      </c>
      <c r="F185" s="3" t="s">
        <v>25</v>
      </c>
      <c r="G185" s="3" t="s">
        <v>25</v>
      </c>
      <c r="H185" s="3" t="s">
        <v>25</v>
      </c>
      <c r="I185" s="6">
        <v>44652</v>
      </c>
      <c r="J185" s="4">
        <v>0</v>
      </c>
      <c r="K185" s="4">
        <v>0</v>
      </c>
      <c r="L185" s="4">
        <v>12.138999999999999</v>
      </c>
      <c r="M185" s="4">
        <v>12.138999999999999</v>
      </c>
      <c r="N185" s="4">
        <v>12.138999999999999</v>
      </c>
      <c r="O185" s="4">
        <v>12.138999999999999</v>
      </c>
      <c r="P185" s="4">
        <v>127</v>
      </c>
      <c r="Q185" s="3" t="s">
        <v>26</v>
      </c>
      <c r="R185" s="3">
        <v>0</v>
      </c>
      <c r="S185" s="4">
        <v>0</v>
      </c>
      <c r="T185" s="4">
        <v>18</v>
      </c>
      <c r="U185" s="4">
        <v>80</v>
      </c>
      <c r="V185" s="4">
        <f>IF(ISERROR(VLOOKUP($S$185,'TAR FIN'!$A$1:$O$88,15,0)),0,VLOOKUP($S$185,'TAR FIN'!$A$1:$O$88,15,0))</f>
        <v>0</v>
      </c>
      <c r="W185" s="4">
        <f>IF(ISERROR(VLOOKUP($T$185,'TAR FIN'!$A$1:$O$88,15,0)),0,VLOOKUP($T$185,'TAR FIN'!$A$1:$O$88,15,0))</f>
        <v>408.08</v>
      </c>
      <c r="X185" s="4">
        <f>IF(ISERROR(VLOOKUP($U$185,'TAR FIN'!$A$1:$O$88,15,0)),0,VLOOKUP($U$185,'TAR FIN'!$A$1:$O$88,15,0))</f>
        <v>165.21</v>
      </c>
      <c r="Y185" s="4"/>
      <c r="Z185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5" s="4">
        <f>('TE BE'!$AB$14+'TE BF'!$AB$14+'TE CVA'!$AB$14)*(1-CUSTOS!$M$37)</f>
        <v>153.95741395122897</v>
      </c>
      <c r="AB185" s="4">
        <f>$K$185*$V$185</f>
        <v>0</v>
      </c>
      <c r="AC185" s="4">
        <f>$M$185*$W$185</f>
        <v>4953.6831199999997</v>
      </c>
      <c r="AD185" s="4">
        <f>$O$185*$X$185</f>
        <v>2005.4841899999999</v>
      </c>
      <c r="AE185" s="4">
        <f>$K$185*$Y$185</f>
        <v>0</v>
      </c>
      <c r="AF185" s="4">
        <f ca="1">$M$185*$Z$185</f>
        <v>5137.6744632553618</v>
      </c>
      <c r="AG185" s="4">
        <f>$O$185*$AA$185</f>
        <v>1868.8890479539684</v>
      </c>
    </row>
    <row r="186" spans="1:33" ht="11.25" customHeight="1" x14ac:dyDescent="0.25">
      <c r="A186" s="3" t="s">
        <v>21</v>
      </c>
      <c r="B186" s="3" t="s">
        <v>22</v>
      </c>
      <c r="C186" s="3" t="s">
        <v>23</v>
      </c>
      <c r="D186" s="3" t="s">
        <v>24</v>
      </c>
      <c r="E186" s="3" t="s">
        <v>32</v>
      </c>
      <c r="F186" s="3" t="s">
        <v>25</v>
      </c>
      <c r="G186" s="3" t="s">
        <v>25</v>
      </c>
      <c r="H186" s="3" t="s">
        <v>25</v>
      </c>
      <c r="I186" s="6">
        <v>44682</v>
      </c>
      <c r="J186" s="4">
        <v>0</v>
      </c>
      <c r="K186" s="4">
        <v>0</v>
      </c>
      <c r="L186" s="4">
        <v>7.76</v>
      </c>
      <c r="M186" s="4">
        <v>7.76</v>
      </c>
      <c r="N186" s="4">
        <v>7.76</v>
      </c>
      <c r="O186" s="4">
        <v>7.76</v>
      </c>
      <c r="P186" s="4">
        <v>84</v>
      </c>
      <c r="Q186" s="3" t="s">
        <v>26</v>
      </c>
      <c r="R186" s="3">
        <v>0</v>
      </c>
      <c r="S186" s="4">
        <v>0</v>
      </c>
      <c r="T186" s="4">
        <v>18</v>
      </c>
      <c r="U186" s="4">
        <v>80</v>
      </c>
      <c r="V186" s="4">
        <f>IF(ISERROR(VLOOKUP($S$186,'TAR FIN'!$A$1:$O$88,15,0)),0,VLOOKUP($S$186,'TAR FIN'!$A$1:$O$88,15,0))</f>
        <v>0</v>
      </c>
      <c r="W186" s="4">
        <f>IF(ISERROR(VLOOKUP($T$186,'TAR FIN'!$A$1:$O$88,15,0)),0,VLOOKUP($T$186,'TAR FIN'!$A$1:$O$88,15,0))</f>
        <v>408.08</v>
      </c>
      <c r="X186" s="4">
        <f>IF(ISERROR(VLOOKUP($U$186,'TAR FIN'!$A$1:$O$88,15,0)),0,VLOOKUP($U$186,'TAR FIN'!$A$1:$O$88,15,0))</f>
        <v>165.21</v>
      </c>
      <c r="Y186" s="4"/>
      <c r="Z186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6" s="4">
        <f>('TE BE'!$AB$14+'TE BF'!$AB$14+'TE CVA'!$AB$14)*(1-CUSTOS!$M$37)</f>
        <v>153.95741395122897</v>
      </c>
      <c r="AB186" s="4">
        <f>$K$186*$V$186</f>
        <v>0</v>
      </c>
      <c r="AC186" s="4">
        <f>$M$186*$W$186</f>
        <v>3166.7007999999996</v>
      </c>
      <c r="AD186" s="4">
        <f>$O$186*$X$186</f>
        <v>1282.0296000000001</v>
      </c>
      <c r="AE186" s="4">
        <f>$K$186*$Y$186</f>
        <v>0</v>
      </c>
      <c r="AF186" s="4">
        <f ca="1">$M$186*$Z$186</f>
        <v>3284.319452579422</v>
      </c>
      <c r="AG186" s="4">
        <f>$O$186*$AA$186</f>
        <v>1194.7095322615369</v>
      </c>
    </row>
    <row r="187" spans="1:33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32</v>
      </c>
      <c r="F187" s="3" t="s">
        <v>25</v>
      </c>
      <c r="G187" s="3" t="s">
        <v>25</v>
      </c>
      <c r="H187" s="3" t="s">
        <v>25</v>
      </c>
      <c r="I187" s="6">
        <v>44713</v>
      </c>
      <c r="J187" s="4">
        <v>0</v>
      </c>
      <c r="K187" s="4">
        <v>0</v>
      </c>
      <c r="L187" s="4">
        <v>10.635</v>
      </c>
      <c r="M187" s="4">
        <v>10.635</v>
      </c>
      <c r="N187" s="4">
        <v>10.635</v>
      </c>
      <c r="O187" s="4">
        <v>10.635</v>
      </c>
      <c r="P187" s="4">
        <v>106</v>
      </c>
      <c r="Q187" s="3" t="s">
        <v>26</v>
      </c>
      <c r="R187" s="3">
        <v>0</v>
      </c>
      <c r="S187" s="4">
        <v>0</v>
      </c>
      <c r="T187" s="4">
        <v>18</v>
      </c>
      <c r="U187" s="4">
        <v>80</v>
      </c>
      <c r="V187" s="4">
        <f>IF(ISERROR(VLOOKUP($S$187,'TAR FIN'!$A$1:$O$88,15,0)),0,VLOOKUP($S$187,'TAR FIN'!$A$1:$O$88,15,0))</f>
        <v>0</v>
      </c>
      <c r="W187" s="4">
        <f>IF(ISERROR(VLOOKUP($T$187,'TAR FIN'!$A$1:$O$88,15,0)),0,VLOOKUP($T$187,'TAR FIN'!$A$1:$O$88,15,0))</f>
        <v>408.08</v>
      </c>
      <c r="X187" s="4">
        <f>IF(ISERROR(VLOOKUP($U$187,'TAR FIN'!$A$1:$O$88,15,0)),0,VLOOKUP($U$187,'TAR FIN'!$A$1:$O$88,15,0))</f>
        <v>165.21</v>
      </c>
      <c r="Y187" s="4"/>
      <c r="Z187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7" s="4">
        <f>('TE BE'!$AB$14+'TE BF'!$AB$14+'TE CVA'!$AB$14)*(1-CUSTOS!$M$37)</f>
        <v>153.95741395122897</v>
      </c>
      <c r="AB187" s="4">
        <f>$K$187*$V$187</f>
        <v>0</v>
      </c>
      <c r="AC187" s="4">
        <f>$M$187*$W$187</f>
        <v>4339.9308000000001</v>
      </c>
      <c r="AD187" s="4">
        <f>$O$187*$X$187</f>
        <v>1757.0083500000001</v>
      </c>
      <c r="AE187" s="4">
        <f>$K$187*$Y$187</f>
        <v>0</v>
      </c>
      <c r="AF187" s="4">
        <f ca="1">$M$187*$Z$187</f>
        <v>4501.1259507966697</v>
      </c>
      <c r="AG187" s="4">
        <f>$O$187*$AA$187</f>
        <v>1637.3370973713202</v>
      </c>
    </row>
    <row r="188" spans="1:33" ht="11.25" customHeight="1" x14ac:dyDescent="0.25">
      <c r="A188" s="3" t="s">
        <v>21</v>
      </c>
      <c r="B188" s="3" t="s">
        <v>22</v>
      </c>
      <c r="C188" s="3" t="s">
        <v>23</v>
      </c>
      <c r="D188" s="3" t="s">
        <v>24</v>
      </c>
      <c r="E188" s="3" t="s">
        <v>32</v>
      </c>
      <c r="F188" s="3" t="s">
        <v>25</v>
      </c>
      <c r="G188" s="3" t="s">
        <v>25</v>
      </c>
      <c r="H188" s="3" t="s">
        <v>25</v>
      </c>
      <c r="I188" s="6">
        <v>44743</v>
      </c>
      <c r="J188" s="4">
        <v>0</v>
      </c>
      <c r="K188" s="4">
        <v>0</v>
      </c>
      <c r="L188" s="4">
        <v>4.3120000000000003</v>
      </c>
      <c r="M188" s="4">
        <v>4.3120000000000003</v>
      </c>
      <c r="N188" s="4">
        <v>4.3120000000000003</v>
      </c>
      <c r="O188" s="4">
        <v>4.3120000000000003</v>
      </c>
      <c r="P188" s="4">
        <v>60</v>
      </c>
      <c r="Q188" s="3" t="s">
        <v>26</v>
      </c>
      <c r="R188" s="3">
        <v>0</v>
      </c>
      <c r="S188" s="4">
        <v>0</v>
      </c>
      <c r="T188" s="4">
        <v>18</v>
      </c>
      <c r="U188" s="4">
        <v>80</v>
      </c>
      <c r="V188" s="4">
        <f>IF(ISERROR(VLOOKUP($S$188,'TAR FIN'!$A$1:$O$88,15,0)),0,VLOOKUP($S$188,'TAR FIN'!$A$1:$O$88,15,0))</f>
        <v>0</v>
      </c>
      <c r="W188" s="4">
        <f>IF(ISERROR(VLOOKUP($T$188,'TAR FIN'!$A$1:$O$88,15,0)),0,VLOOKUP($T$188,'TAR FIN'!$A$1:$O$88,15,0))</f>
        <v>408.08</v>
      </c>
      <c r="X188" s="4">
        <f>IF(ISERROR(VLOOKUP($U$188,'TAR FIN'!$A$1:$O$88,15,0)),0,VLOOKUP($U$188,'TAR FIN'!$A$1:$O$88,15,0))</f>
        <v>165.21</v>
      </c>
      <c r="Y188" s="4"/>
      <c r="Z188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8" s="4">
        <f>('TE BE'!$AB$14+'TE BF'!$AB$14+'TE CVA'!$AB$14)*(1-CUSTOS!$M$37)</f>
        <v>153.95741395122897</v>
      </c>
      <c r="AB188" s="4">
        <f>$K$188*$V$188</f>
        <v>0</v>
      </c>
      <c r="AC188" s="4">
        <f>$M$188*$W$188</f>
        <v>1759.64096</v>
      </c>
      <c r="AD188" s="4">
        <f>$O$188*$X$188</f>
        <v>712.38552000000004</v>
      </c>
      <c r="AE188" s="4">
        <f>$K$188*$Y$188</f>
        <v>0</v>
      </c>
      <c r="AF188" s="4">
        <f ca="1">$M$188*$Z$188</f>
        <v>1824.9981288044419</v>
      </c>
      <c r="AG188" s="4">
        <f>$O$188*$AA$188</f>
        <v>663.86436895769941</v>
      </c>
    </row>
    <row r="189" spans="1:33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32</v>
      </c>
      <c r="F189" s="3" t="s">
        <v>25</v>
      </c>
      <c r="G189" s="3" t="s">
        <v>25</v>
      </c>
      <c r="H189" s="3" t="s">
        <v>25</v>
      </c>
      <c r="I189" s="6">
        <v>44774</v>
      </c>
      <c r="J189" s="4">
        <v>0</v>
      </c>
      <c r="K189" s="4">
        <v>0</v>
      </c>
      <c r="L189" s="4">
        <v>7.032</v>
      </c>
      <c r="M189" s="4">
        <v>7.032</v>
      </c>
      <c r="N189" s="4">
        <v>7.032</v>
      </c>
      <c r="O189" s="4">
        <v>7.032</v>
      </c>
      <c r="P189" s="4">
        <v>73</v>
      </c>
      <c r="Q189" s="3" t="s">
        <v>26</v>
      </c>
      <c r="R189" s="3">
        <v>0</v>
      </c>
      <c r="S189" s="4">
        <v>0</v>
      </c>
      <c r="T189" s="4">
        <v>18</v>
      </c>
      <c r="U189" s="4">
        <v>80</v>
      </c>
      <c r="V189" s="4">
        <f>IF(ISERROR(VLOOKUP($S$189,'TAR FIN'!$A$1:$O$88,15,0)),0,VLOOKUP($S$189,'TAR FIN'!$A$1:$O$88,15,0))</f>
        <v>0</v>
      </c>
      <c r="W189" s="4">
        <f>IF(ISERROR(VLOOKUP($T$189,'TAR FIN'!$A$1:$O$88,15,0)),0,VLOOKUP($T$189,'TAR FIN'!$A$1:$O$88,15,0))</f>
        <v>408.08</v>
      </c>
      <c r="X189" s="4">
        <f>IF(ISERROR(VLOOKUP($U$189,'TAR FIN'!$A$1:$O$88,15,0)),0,VLOOKUP($U$189,'TAR FIN'!$A$1:$O$88,15,0))</f>
        <v>165.21</v>
      </c>
      <c r="Y189" s="4"/>
      <c r="Z189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189" s="4">
        <f>('TE BE'!$AB$14+'TE BF'!$AB$14+'TE CVA'!$AB$14)*(1-CUSTOS!$M$37)</f>
        <v>153.95741395122897</v>
      </c>
      <c r="AB189" s="4">
        <f>$K$189*$V$189</f>
        <v>0</v>
      </c>
      <c r="AC189" s="4">
        <f>$M$189*$W$189</f>
        <v>2869.6185599999999</v>
      </c>
      <c r="AD189" s="4">
        <f>$O$189*$X$189</f>
        <v>1161.7567200000001</v>
      </c>
      <c r="AE189" s="4">
        <f>$K$189*$Y$189</f>
        <v>0</v>
      </c>
      <c r="AF189" s="4">
        <f ca="1">$M$189*$Z$189</f>
        <v>2976.2028853786724</v>
      </c>
      <c r="AG189" s="4">
        <f>$O$189*$AA$189</f>
        <v>1082.6285349050422</v>
      </c>
    </row>
    <row r="190" spans="1:33" ht="11.25" customHeight="1" x14ac:dyDescent="0.25">
      <c r="A190" s="3" t="s">
        <v>21</v>
      </c>
      <c r="B190" s="3" t="s">
        <v>40</v>
      </c>
      <c r="C190" s="3" t="s">
        <v>23</v>
      </c>
      <c r="D190" s="3" t="s">
        <v>41</v>
      </c>
      <c r="E190" s="3" t="s">
        <v>53</v>
      </c>
      <c r="F190" s="3" t="s">
        <v>51</v>
      </c>
      <c r="G190" s="3" t="s">
        <v>25</v>
      </c>
      <c r="H190" s="3" t="s">
        <v>25</v>
      </c>
      <c r="I190" s="6">
        <v>44531</v>
      </c>
      <c r="J190" s="4">
        <v>0</v>
      </c>
      <c r="K190" s="4">
        <v>0</v>
      </c>
      <c r="L190" s="4">
        <v>1.0429999999999999</v>
      </c>
      <c r="M190" s="4">
        <v>1.0429999999999999</v>
      </c>
      <c r="N190" s="4">
        <v>1.0429999999999999</v>
      </c>
      <c r="O190" s="4">
        <v>1.0429999999999999</v>
      </c>
      <c r="P190" s="4">
        <v>0</v>
      </c>
      <c r="Q190" s="3" t="s">
        <v>26</v>
      </c>
      <c r="R190" s="3">
        <v>0</v>
      </c>
      <c r="S190" s="4">
        <v>0</v>
      </c>
      <c r="T190" s="4">
        <v>34</v>
      </c>
      <c r="U190" s="4">
        <v>52</v>
      </c>
      <c r="V190" s="4">
        <f>IF(ISERROR(VLOOKUP($S$190,'TAR FIN'!$A$1:$O$88,15,0)),0,VLOOKUP($S$190,'TAR FIN'!$A$1:$O$88,15,0))</f>
        <v>0</v>
      </c>
      <c r="W190" s="4">
        <f>IF(ISERROR(VLOOKUP($T$190,'TAR FIN'!$A$1:$O$88,15,0)),0,VLOOKUP($T$190,'TAR FIN'!$A$1:$O$88,15,0))</f>
        <v>418.93</v>
      </c>
      <c r="X190" s="4">
        <f>IF(ISERROR(VLOOKUP($U$190,'TAR FIN'!$A$1:$O$88,15,0)),0,VLOOKUP($U$190,'TAR FIN'!$A$1:$O$88,15,0))</f>
        <v>145.38</v>
      </c>
      <c r="Y190" s="4"/>
      <c r="Z190" s="4">
        <f ca="1">('TUSD BE'!$AM$33+'TUSD BF'!$AM$33+'TUSD CVA'!$AM$33)*(1-CUSTOS!$M$38)</f>
        <v>497.93087316633921</v>
      </c>
      <c r="AA190" s="4">
        <f>('TE BE'!$AB$23+'TE BF'!$AB$23+'TE CVA'!$AB$23)*(1-CUSTOS!$M$38)</f>
        <v>144.71996911415522</v>
      </c>
      <c r="AB190" s="4">
        <f>$K$190*$V$190</f>
        <v>0</v>
      </c>
      <c r="AC190" s="4">
        <f>$M$190*$W$190</f>
        <v>436.94398999999999</v>
      </c>
      <c r="AD190" s="4">
        <f>$O$190*$X$190</f>
        <v>151.63133999999999</v>
      </c>
      <c r="AE190" s="4">
        <f>$K$190*$Y$190</f>
        <v>0</v>
      </c>
      <c r="AF190" s="4">
        <f ca="1">$M$190*$Z$190</f>
        <v>519.34190071249179</v>
      </c>
      <c r="AG190" s="4">
        <f>$O$190*$AA$190</f>
        <v>150.94292778606388</v>
      </c>
    </row>
    <row r="191" spans="1:33" ht="11.25" customHeight="1" x14ac:dyDescent="0.25">
      <c r="A191" s="3" t="s">
        <v>21</v>
      </c>
      <c r="B191" s="3" t="s">
        <v>40</v>
      </c>
      <c r="C191" s="3" t="s">
        <v>23</v>
      </c>
      <c r="D191" s="3" t="s">
        <v>41</v>
      </c>
      <c r="E191" s="3" t="s">
        <v>53</v>
      </c>
      <c r="F191" s="3" t="s">
        <v>51</v>
      </c>
      <c r="G191" s="3" t="s">
        <v>25</v>
      </c>
      <c r="H191" s="3" t="s">
        <v>25</v>
      </c>
      <c r="I191" s="6">
        <v>44562</v>
      </c>
      <c r="J191" s="4">
        <v>0</v>
      </c>
      <c r="K191" s="4">
        <v>0</v>
      </c>
      <c r="L191" s="4">
        <v>1.181</v>
      </c>
      <c r="M191" s="4">
        <v>1.181</v>
      </c>
      <c r="N191" s="4">
        <v>1.181</v>
      </c>
      <c r="O191" s="4">
        <v>1.181</v>
      </c>
      <c r="P191" s="4">
        <v>0</v>
      </c>
      <c r="Q191" s="3" t="s">
        <v>26</v>
      </c>
      <c r="R191" s="3">
        <v>0</v>
      </c>
      <c r="S191" s="4">
        <v>0</v>
      </c>
      <c r="T191" s="4">
        <v>34</v>
      </c>
      <c r="U191" s="4">
        <v>52</v>
      </c>
      <c r="V191" s="4">
        <f>IF(ISERROR(VLOOKUP($S$191,'TAR FIN'!$A$1:$O$88,15,0)),0,VLOOKUP($S$191,'TAR FIN'!$A$1:$O$88,15,0))</f>
        <v>0</v>
      </c>
      <c r="W191" s="4">
        <f>IF(ISERROR(VLOOKUP($T$191,'TAR FIN'!$A$1:$O$88,15,0)),0,VLOOKUP($T$191,'TAR FIN'!$A$1:$O$88,15,0))</f>
        <v>418.93</v>
      </c>
      <c r="X191" s="4">
        <f>IF(ISERROR(VLOOKUP($U$191,'TAR FIN'!$A$1:$O$88,15,0)),0,VLOOKUP($U$191,'TAR FIN'!$A$1:$O$88,15,0))</f>
        <v>145.38</v>
      </c>
      <c r="Y191" s="4"/>
      <c r="Z191" s="4">
        <f ca="1">('TUSD BE'!$AM$33+'TUSD BF'!$AM$33+'TUSD CVA'!$AM$33)*(1-CUSTOS!$M$38)</f>
        <v>497.93087316633921</v>
      </c>
      <c r="AA191" s="4">
        <f>('TE BE'!$AB$23+'TE BF'!$AB$23+'TE CVA'!$AB$23)*(1-CUSTOS!$M$38)</f>
        <v>144.71996911415522</v>
      </c>
      <c r="AB191" s="4">
        <f>$K$191*$V$191</f>
        <v>0</v>
      </c>
      <c r="AC191" s="4">
        <f>$M$191*$W$191</f>
        <v>494.75633000000005</v>
      </c>
      <c r="AD191" s="4">
        <f>$O$191*$X$191</f>
        <v>171.69378</v>
      </c>
      <c r="AE191" s="4">
        <f>$K$191*$Y$191</f>
        <v>0</v>
      </c>
      <c r="AF191" s="4">
        <f ca="1">$M$191*$Z$191</f>
        <v>588.05636120944666</v>
      </c>
      <c r="AG191" s="4">
        <f>$O$191*$AA$191</f>
        <v>170.91428352381732</v>
      </c>
    </row>
    <row r="192" spans="1:33" ht="11.25" customHeight="1" x14ac:dyDescent="0.25">
      <c r="A192" s="3" t="s">
        <v>21</v>
      </c>
      <c r="B192" s="3" t="s">
        <v>40</v>
      </c>
      <c r="C192" s="3" t="s">
        <v>23</v>
      </c>
      <c r="D192" s="3" t="s">
        <v>41</v>
      </c>
      <c r="E192" s="3" t="s">
        <v>53</v>
      </c>
      <c r="F192" s="3" t="s">
        <v>51</v>
      </c>
      <c r="G192" s="3" t="s">
        <v>25</v>
      </c>
      <c r="H192" s="3" t="s">
        <v>25</v>
      </c>
      <c r="I192" s="6">
        <v>44593</v>
      </c>
      <c r="J192" s="4">
        <v>0</v>
      </c>
      <c r="K192" s="4">
        <v>0</v>
      </c>
      <c r="L192" s="4">
        <v>0.9</v>
      </c>
      <c r="M192" s="4">
        <v>0.9</v>
      </c>
      <c r="N192" s="4">
        <v>0.9</v>
      </c>
      <c r="O192" s="4">
        <v>0.9</v>
      </c>
      <c r="P192" s="4">
        <v>0</v>
      </c>
      <c r="Q192" s="3" t="s">
        <v>26</v>
      </c>
      <c r="R192" s="3">
        <v>0</v>
      </c>
      <c r="S192" s="4">
        <v>0</v>
      </c>
      <c r="T192" s="4">
        <v>34</v>
      </c>
      <c r="U192" s="4">
        <v>52</v>
      </c>
      <c r="V192" s="4">
        <f>IF(ISERROR(VLOOKUP($S$192,'TAR FIN'!$A$1:$O$88,15,0)),0,VLOOKUP($S$192,'TAR FIN'!$A$1:$O$88,15,0))</f>
        <v>0</v>
      </c>
      <c r="W192" s="4">
        <f>IF(ISERROR(VLOOKUP($T$192,'TAR FIN'!$A$1:$O$88,15,0)),0,VLOOKUP($T$192,'TAR FIN'!$A$1:$O$88,15,0))</f>
        <v>418.93</v>
      </c>
      <c r="X192" s="4">
        <f>IF(ISERROR(VLOOKUP($U$192,'TAR FIN'!$A$1:$O$88,15,0)),0,VLOOKUP($U$192,'TAR FIN'!$A$1:$O$88,15,0))</f>
        <v>145.38</v>
      </c>
      <c r="Y192" s="4"/>
      <c r="Z192" s="4">
        <f ca="1">('TUSD BE'!$AM$33+'TUSD BF'!$AM$33+'TUSD CVA'!$AM$33)*(1-CUSTOS!$M$38)</f>
        <v>497.93087316633921</v>
      </c>
      <c r="AA192" s="4">
        <f>('TE BE'!$AB$23+'TE BF'!$AB$23+'TE CVA'!$AB$23)*(1-CUSTOS!$M$38)</f>
        <v>144.71996911415522</v>
      </c>
      <c r="AB192" s="4">
        <f>$K$192*$V$192</f>
        <v>0</v>
      </c>
      <c r="AC192" s="4">
        <f>$M$192*$W$192</f>
        <v>377.03700000000003</v>
      </c>
      <c r="AD192" s="4">
        <f>$O$192*$X$192</f>
        <v>130.84200000000001</v>
      </c>
      <c r="AE192" s="4">
        <f>$K$192*$Y$192</f>
        <v>0</v>
      </c>
      <c r="AF192" s="4">
        <f ca="1">$M$192*$Z$192</f>
        <v>448.13778584970532</v>
      </c>
      <c r="AG192" s="4">
        <f>$O$192*$AA$192</f>
        <v>130.2479722027397</v>
      </c>
    </row>
    <row r="193" spans="1:33" ht="11.25" customHeight="1" x14ac:dyDescent="0.25">
      <c r="A193" s="3" t="s">
        <v>21</v>
      </c>
      <c r="B193" s="3" t="s">
        <v>40</v>
      </c>
      <c r="C193" s="3" t="s">
        <v>23</v>
      </c>
      <c r="D193" s="3" t="s">
        <v>41</v>
      </c>
      <c r="E193" s="3" t="s">
        <v>53</v>
      </c>
      <c r="F193" s="3" t="s">
        <v>51</v>
      </c>
      <c r="G193" s="3" t="s">
        <v>25</v>
      </c>
      <c r="H193" s="3" t="s">
        <v>25</v>
      </c>
      <c r="I193" s="6">
        <v>44621</v>
      </c>
      <c r="J193" s="4">
        <v>0</v>
      </c>
      <c r="K193" s="4">
        <v>0</v>
      </c>
      <c r="L193" s="4">
        <v>0.111</v>
      </c>
      <c r="M193" s="4">
        <v>0.111</v>
      </c>
      <c r="N193" s="4">
        <v>0.111</v>
      </c>
      <c r="O193" s="4">
        <v>0.111</v>
      </c>
      <c r="P193" s="4">
        <v>0</v>
      </c>
      <c r="Q193" s="3" t="s">
        <v>26</v>
      </c>
      <c r="R193" s="3">
        <v>0</v>
      </c>
      <c r="S193" s="4">
        <v>0</v>
      </c>
      <c r="T193" s="4">
        <v>34</v>
      </c>
      <c r="U193" s="4">
        <v>52</v>
      </c>
      <c r="V193" s="4">
        <f>IF(ISERROR(VLOOKUP($S$193,'TAR FIN'!$A$1:$O$88,15,0)),0,VLOOKUP($S$193,'TAR FIN'!$A$1:$O$88,15,0))</f>
        <v>0</v>
      </c>
      <c r="W193" s="4">
        <f>IF(ISERROR(VLOOKUP($T$193,'TAR FIN'!$A$1:$O$88,15,0)),0,VLOOKUP($T$193,'TAR FIN'!$A$1:$O$88,15,0))</f>
        <v>418.93</v>
      </c>
      <c r="X193" s="4">
        <f>IF(ISERROR(VLOOKUP($U$193,'TAR FIN'!$A$1:$O$88,15,0)),0,VLOOKUP($U$193,'TAR FIN'!$A$1:$O$88,15,0))</f>
        <v>145.38</v>
      </c>
      <c r="Y193" s="4"/>
      <c r="Z193" s="4">
        <f ca="1">('TUSD BE'!$AM$33+'TUSD BF'!$AM$33+'TUSD CVA'!$AM$33)*(1-CUSTOS!$M$38)</f>
        <v>497.93087316633921</v>
      </c>
      <c r="AA193" s="4">
        <f>('TE BE'!$AB$23+'TE BF'!$AB$23+'TE CVA'!$AB$23)*(1-CUSTOS!$M$38)</f>
        <v>144.71996911415522</v>
      </c>
      <c r="AB193" s="4">
        <f>$K$193*$V$193</f>
        <v>0</v>
      </c>
      <c r="AC193" s="4">
        <f>$M$193*$W$193</f>
        <v>46.50123</v>
      </c>
      <c r="AD193" s="4">
        <f>$O$193*$X$193</f>
        <v>16.137180000000001</v>
      </c>
      <c r="AE193" s="4">
        <f>$K$193*$Y$193</f>
        <v>0</v>
      </c>
      <c r="AF193" s="4">
        <f ca="1">$M$193*$Z$193</f>
        <v>55.270326921463656</v>
      </c>
      <c r="AG193" s="4">
        <f>$O$193*$AA$193</f>
        <v>16.063916571671228</v>
      </c>
    </row>
    <row r="194" spans="1:33" ht="11.25" customHeight="1" x14ac:dyDescent="0.25">
      <c r="A194" s="3" t="s">
        <v>21</v>
      </c>
      <c r="B194" s="3" t="s">
        <v>40</v>
      </c>
      <c r="C194" s="3" t="s">
        <v>23</v>
      </c>
      <c r="D194" s="3" t="s">
        <v>41</v>
      </c>
      <c r="E194" s="3" t="s">
        <v>53</v>
      </c>
      <c r="F194" s="3" t="s">
        <v>51</v>
      </c>
      <c r="G194" s="3" t="s">
        <v>25</v>
      </c>
      <c r="H194" s="3" t="s">
        <v>25</v>
      </c>
      <c r="I194" s="6">
        <v>44652</v>
      </c>
      <c r="J194" s="4">
        <v>0</v>
      </c>
      <c r="K194" s="4">
        <v>0</v>
      </c>
      <c r="L194" s="4">
        <v>0.1</v>
      </c>
      <c r="M194" s="4">
        <v>0.1</v>
      </c>
      <c r="N194" s="4">
        <v>0.1</v>
      </c>
      <c r="O194" s="4">
        <v>0.1</v>
      </c>
      <c r="P194" s="4">
        <v>0</v>
      </c>
      <c r="Q194" s="3" t="s">
        <v>26</v>
      </c>
      <c r="R194" s="3">
        <v>0</v>
      </c>
      <c r="S194" s="4">
        <v>0</v>
      </c>
      <c r="T194" s="4">
        <v>34</v>
      </c>
      <c r="U194" s="4">
        <v>52</v>
      </c>
      <c r="V194" s="4">
        <f>IF(ISERROR(VLOOKUP($S$194,'TAR FIN'!$A$1:$O$88,15,0)),0,VLOOKUP($S$194,'TAR FIN'!$A$1:$O$88,15,0))</f>
        <v>0</v>
      </c>
      <c r="W194" s="4">
        <f>IF(ISERROR(VLOOKUP($T$194,'TAR FIN'!$A$1:$O$88,15,0)),0,VLOOKUP($T$194,'TAR FIN'!$A$1:$O$88,15,0))</f>
        <v>418.93</v>
      </c>
      <c r="X194" s="4">
        <f>IF(ISERROR(VLOOKUP($U$194,'TAR FIN'!$A$1:$O$88,15,0)),0,VLOOKUP($U$194,'TAR FIN'!$A$1:$O$88,15,0))</f>
        <v>145.38</v>
      </c>
      <c r="Y194" s="4"/>
      <c r="Z194" s="4">
        <f ca="1">('TUSD BE'!$AM$33+'TUSD BF'!$AM$33+'TUSD CVA'!$AM$33)*(1-CUSTOS!$M$38)</f>
        <v>497.93087316633921</v>
      </c>
      <c r="AA194" s="4">
        <f>('TE BE'!$AB$23+'TE BF'!$AB$23+'TE CVA'!$AB$23)*(1-CUSTOS!$M$38)</f>
        <v>144.71996911415522</v>
      </c>
      <c r="AB194" s="4">
        <f>$K$194*$V$194</f>
        <v>0</v>
      </c>
      <c r="AC194" s="4">
        <f>$M$194*$W$194</f>
        <v>41.893000000000001</v>
      </c>
      <c r="AD194" s="4">
        <f>$O$194*$X$194</f>
        <v>14.538</v>
      </c>
      <c r="AE194" s="4">
        <f>$K$194*$Y$194</f>
        <v>0</v>
      </c>
      <c r="AF194" s="4">
        <f ca="1">$M$194*$Z$194</f>
        <v>49.793087316633923</v>
      </c>
      <c r="AG194" s="4">
        <f>$O$194*$AA$194</f>
        <v>14.471996911415523</v>
      </c>
    </row>
    <row r="195" spans="1:33" ht="11.25" customHeight="1" x14ac:dyDescent="0.25">
      <c r="A195" s="3" t="s">
        <v>21</v>
      </c>
      <c r="B195" s="3" t="s">
        <v>40</v>
      </c>
      <c r="C195" s="3" t="s">
        <v>23</v>
      </c>
      <c r="D195" s="3" t="s">
        <v>41</v>
      </c>
      <c r="E195" s="3" t="s">
        <v>53</v>
      </c>
      <c r="F195" s="3" t="s">
        <v>52</v>
      </c>
      <c r="G195" s="3" t="s">
        <v>25</v>
      </c>
      <c r="H195" s="3" t="s">
        <v>25</v>
      </c>
      <c r="I195" s="6">
        <v>44531</v>
      </c>
      <c r="J195" s="4">
        <v>0</v>
      </c>
      <c r="K195" s="4">
        <v>0</v>
      </c>
      <c r="L195" s="4">
        <v>0.33600000000000002</v>
      </c>
      <c r="M195" s="4">
        <v>0.13439999999999999</v>
      </c>
      <c r="N195" s="4">
        <v>0.33600000000000002</v>
      </c>
      <c r="O195" s="4">
        <v>0.13439999999999999</v>
      </c>
      <c r="P195" s="4">
        <v>0</v>
      </c>
      <c r="Q195" s="3" t="s">
        <v>26</v>
      </c>
      <c r="R195" s="3">
        <v>0</v>
      </c>
      <c r="S195" s="4">
        <v>0</v>
      </c>
      <c r="T195" s="4">
        <v>32</v>
      </c>
      <c r="U195" s="4">
        <v>52</v>
      </c>
      <c r="V195" s="4">
        <f>IF(ISERROR(VLOOKUP($S$195,'TAR FIN'!$A$1:$O$88,15,0)),0,VLOOKUP($S$195,'TAR FIN'!$A$1:$O$88,15,0))</f>
        <v>0</v>
      </c>
      <c r="W195" s="4">
        <f>IF(ISERROR(VLOOKUP($T$195,'TAR FIN'!$A$1:$O$88,15,0)),0,VLOOKUP($T$195,'TAR FIN'!$A$1:$O$88,15,0))</f>
        <v>418.93</v>
      </c>
      <c r="X195" s="4">
        <f>IF(ISERROR(VLOOKUP($U$195,'TAR FIN'!$A$1:$O$88,15,0)),0,VLOOKUP($U$195,'TAR FIN'!$A$1:$O$88,15,0))</f>
        <v>145.38</v>
      </c>
      <c r="Y195" s="4"/>
      <c r="Z195" s="4">
        <f ca="1">('TUSD BE'!$AM$33+'TUSD BF'!$AM$33+'TUSD CVA'!$AM$33)*(1-CUSTOS!$M$38)</f>
        <v>497.93087316633921</v>
      </c>
      <c r="AA195" s="4">
        <f>('TE BE'!$AB$23+'TE BF'!$AB$23+'TE CVA'!$AB$23)*(1-CUSTOS!$M$38)</f>
        <v>144.71996911415522</v>
      </c>
      <c r="AB195" s="4">
        <f>$K$195*$V$195</f>
        <v>0</v>
      </c>
      <c r="AC195" s="4">
        <f>$M$195*$W$195</f>
        <v>56.304192</v>
      </c>
      <c r="AD195" s="4">
        <f>$O$195*$X$195</f>
        <v>19.539071999999997</v>
      </c>
      <c r="AE195" s="4">
        <f>$K$195*$Y$195</f>
        <v>0</v>
      </c>
      <c r="AF195" s="4">
        <f ca="1">$M$195*$Z$195</f>
        <v>66.921909353555989</v>
      </c>
      <c r="AG195" s="4">
        <f>$O$195*$AA$195</f>
        <v>19.450363848942459</v>
      </c>
    </row>
    <row r="196" spans="1:33" ht="11.25" customHeight="1" x14ac:dyDescent="0.25">
      <c r="A196" s="3" t="s">
        <v>21</v>
      </c>
      <c r="B196" s="3" t="s">
        <v>40</v>
      </c>
      <c r="C196" s="3" t="s">
        <v>23</v>
      </c>
      <c r="D196" s="3" t="s">
        <v>41</v>
      </c>
      <c r="E196" s="3" t="s">
        <v>53</v>
      </c>
      <c r="F196" s="3" t="s">
        <v>52</v>
      </c>
      <c r="G196" s="3" t="s">
        <v>25</v>
      </c>
      <c r="H196" s="3" t="s">
        <v>25</v>
      </c>
      <c r="I196" s="6">
        <v>44562</v>
      </c>
      <c r="J196" s="4">
        <v>0</v>
      </c>
      <c r="K196" s="4">
        <v>0</v>
      </c>
      <c r="L196" s="4">
        <v>8.5000000000000006E-2</v>
      </c>
      <c r="M196" s="4">
        <v>3.4000000000000002E-2</v>
      </c>
      <c r="N196" s="4">
        <v>8.5000000000000006E-2</v>
      </c>
      <c r="O196" s="4">
        <v>3.4000000000000002E-2</v>
      </c>
      <c r="P196" s="4">
        <v>0</v>
      </c>
      <c r="Q196" s="3" t="s">
        <v>26</v>
      </c>
      <c r="R196" s="3">
        <v>0</v>
      </c>
      <c r="S196" s="4">
        <v>0</v>
      </c>
      <c r="T196" s="4">
        <v>32</v>
      </c>
      <c r="U196" s="4">
        <v>52</v>
      </c>
      <c r="V196" s="4">
        <f>IF(ISERROR(VLOOKUP($S$196,'TAR FIN'!$A$1:$O$88,15,0)),0,VLOOKUP($S$196,'TAR FIN'!$A$1:$O$88,15,0))</f>
        <v>0</v>
      </c>
      <c r="W196" s="4">
        <f>IF(ISERROR(VLOOKUP($T$196,'TAR FIN'!$A$1:$O$88,15,0)),0,VLOOKUP($T$196,'TAR FIN'!$A$1:$O$88,15,0))</f>
        <v>418.93</v>
      </c>
      <c r="X196" s="4">
        <f>IF(ISERROR(VLOOKUP($U$196,'TAR FIN'!$A$1:$O$88,15,0)),0,VLOOKUP($U$196,'TAR FIN'!$A$1:$O$88,15,0))</f>
        <v>145.38</v>
      </c>
      <c r="Y196" s="4"/>
      <c r="Z196" s="4">
        <f ca="1">('TUSD BE'!$AM$33+'TUSD BF'!$AM$33+'TUSD CVA'!$AM$33)*(1-CUSTOS!$M$38)</f>
        <v>497.93087316633921</v>
      </c>
      <c r="AA196" s="4">
        <f>('TE BE'!$AB$23+'TE BF'!$AB$23+'TE CVA'!$AB$23)*(1-CUSTOS!$M$38)</f>
        <v>144.71996911415522</v>
      </c>
      <c r="AB196" s="4">
        <f>$K$196*$V$196</f>
        <v>0</v>
      </c>
      <c r="AC196" s="4">
        <f>$M$196*$W$196</f>
        <v>14.243620000000002</v>
      </c>
      <c r="AD196" s="4">
        <f>$O$196*$X$196</f>
        <v>4.94292</v>
      </c>
      <c r="AE196" s="4">
        <f>$K$196*$Y$196</f>
        <v>0</v>
      </c>
      <c r="AF196" s="4">
        <f ca="1">$M$196*$Z$196</f>
        <v>16.929649687655534</v>
      </c>
      <c r="AG196" s="4">
        <f>$O$196*$AA$196</f>
        <v>4.9204789498812778</v>
      </c>
    </row>
    <row r="197" spans="1:33" ht="11.25" customHeight="1" x14ac:dyDescent="0.25">
      <c r="A197" s="3" t="s">
        <v>21</v>
      </c>
      <c r="B197" s="3" t="s">
        <v>40</v>
      </c>
      <c r="C197" s="3" t="s">
        <v>23</v>
      </c>
      <c r="D197" s="3" t="s">
        <v>41</v>
      </c>
      <c r="E197" s="3" t="s">
        <v>53</v>
      </c>
      <c r="F197" s="3" t="s">
        <v>52</v>
      </c>
      <c r="G197" s="3" t="s">
        <v>25</v>
      </c>
      <c r="H197" s="3" t="s">
        <v>25</v>
      </c>
      <c r="I197" s="6">
        <v>44593</v>
      </c>
      <c r="J197" s="4">
        <v>0</v>
      </c>
      <c r="K197" s="4">
        <v>0</v>
      </c>
      <c r="L197" s="4">
        <v>8.3000000000000004E-2</v>
      </c>
      <c r="M197" s="4">
        <v>3.32E-2</v>
      </c>
      <c r="N197" s="4">
        <v>8.3000000000000004E-2</v>
      </c>
      <c r="O197" s="4">
        <v>3.32E-2</v>
      </c>
      <c r="P197" s="4">
        <v>0</v>
      </c>
      <c r="Q197" s="3" t="s">
        <v>26</v>
      </c>
      <c r="R197" s="3">
        <v>0</v>
      </c>
      <c r="S197" s="4">
        <v>0</v>
      </c>
      <c r="T197" s="4">
        <v>32</v>
      </c>
      <c r="U197" s="4">
        <v>52</v>
      </c>
      <c r="V197" s="4">
        <f>IF(ISERROR(VLOOKUP($S$197,'TAR FIN'!$A$1:$O$88,15,0)),0,VLOOKUP($S$197,'TAR FIN'!$A$1:$O$88,15,0))</f>
        <v>0</v>
      </c>
      <c r="W197" s="4">
        <f>IF(ISERROR(VLOOKUP($T$197,'TAR FIN'!$A$1:$O$88,15,0)),0,VLOOKUP($T$197,'TAR FIN'!$A$1:$O$88,15,0))</f>
        <v>418.93</v>
      </c>
      <c r="X197" s="4">
        <f>IF(ISERROR(VLOOKUP($U$197,'TAR FIN'!$A$1:$O$88,15,0)),0,VLOOKUP($U$197,'TAR FIN'!$A$1:$O$88,15,0))</f>
        <v>145.38</v>
      </c>
      <c r="Y197" s="4"/>
      <c r="Z197" s="4">
        <f ca="1">('TUSD BE'!$AM$33+'TUSD BF'!$AM$33+'TUSD CVA'!$AM$33)*(1-CUSTOS!$M$38)</f>
        <v>497.93087316633921</v>
      </c>
      <c r="AA197" s="4">
        <f>('TE BE'!$AB$23+'TE BF'!$AB$23+'TE CVA'!$AB$23)*(1-CUSTOS!$M$38)</f>
        <v>144.71996911415522</v>
      </c>
      <c r="AB197" s="4">
        <f>$K$197*$V$197</f>
        <v>0</v>
      </c>
      <c r="AC197" s="4">
        <f>$M$197*$W$197</f>
        <v>13.908476</v>
      </c>
      <c r="AD197" s="4">
        <f>$O$197*$X$197</f>
        <v>4.8266159999999996</v>
      </c>
      <c r="AE197" s="4">
        <f>$K$197*$Y$197</f>
        <v>0</v>
      </c>
      <c r="AF197" s="4">
        <f ca="1">$M$197*$Z$197</f>
        <v>16.531304989122461</v>
      </c>
      <c r="AG197" s="4">
        <f>$O$197*$AA$197</f>
        <v>4.8047029745899534</v>
      </c>
    </row>
    <row r="198" spans="1:33" ht="11.25" customHeight="1" x14ac:dyDescent="0.25">
      <c r="A198" s="3" t="s">
        <v>21</v>
      </c>
      <c r="B198" s="3" t="s">
        <v>40</v>
      </c>
      <c r="C198" s="3" t="s">
        <v>23</v>
      </c>
      <c r="D198" s="3" t="s">
        <v>41</v>
      </c>
      <c r="E198" s="3" t="s">
        <v>50</v>
      </c>
      <c r="F198" s="3" t="s">
        <v>51</v>
      </c>
      <c r="G198" s="3" t="s">
        <v>25</v>
      </c>
      <c r="H198" s="3" t="s">
        <v>25</v>
      </c>
      <c r="I198" s="6">
        <v>44440</v>
      </c>
      <c r="J198" s="4">
        <v>0</v>
      </c>
      <c r="K198" s="4">
        <v>0</v>
      </c>
      <c r="L198" s="4">
        <v>0.10100000000000001</v>
      </c>
      <c r="M198" s="4">
        <v>0.10100000000000001</v>
      </c>
      <c r="N198" s="4">
        <v>0.10100000000000001</v>
      </c>
      <c r="O198" s="4">
        <v>0.10100000000000001</v>
      </c>
      <c r="P198" s="4">
        <v>0</v>
      </c>
      <c r="Q198" s="3" t="s">
        <v>26</v>
      </c>
      <c r="R198" s="3">
        <v>0</v>
      </c>
      <c r="S198" s="4">
        <v>0</v>
      </c>
      <c r="T198" s="4">
        <v>34</v>
      </c>
      <c r="U198" s="4">
        <v>52</v>
      </c>
      <c r="V198" s="4">
        <f>IF(ISERROR(VLOOKUP($S$198,'TAR FIN'!$A$1:$O$88,15,0)),0,VLOOKUP($S$198,'TAR FIN'!$A$1:$O$88,15,0))</f>
        <v>0</v>
      </c>
      <c r="W198" s="4">
        <f>IF(ISERROR(VLOOKUP($T$198,'TAR FIN'!$A$1:$O$88,15,0)),0,VLOOKUP($T$198,'TAR FIN'!$A$1:$O$88,15,0))</f>
        <v>418.93</v>
      </c>
      <c r="X198" s="4">
        <f>IF(ISERROR(VLOOKUP($U$198,'TAR FIN'!$A$1:$O$88,15,0)),0,VLOOKUP($U$198,'TAR FIN'!$A$1:$O$88,15,0))</f>
        <v>145.38</v>
      </c>
      <c r="Y198" s="4"/>
      <c r="Z198" s="4">
        <f ca="1">('TUSD BE'!$AM$33+'TUSD BF'!$AM$33+'TUSD CVA'!$AM$33)*(1-CUSTOS!$M$38)</f>
        <v>497.93087316633921</v>
      </c>
      <c r="AA198" s="4">
        <f>('TE BE'!$AB$23+'TE BF'!$AB$23+'TE CVA'!$AB$23)*(1-CUSTOS!$M$38)</f>
        <v>144.71996911415522</v>
      </c>
      <c r="AB198" s="4">
        <f>$K$198*$V$198</f>
        <v>0</v>
      </c>
      <c r="AC198" s="4">
        <f>$M$198*$W$198</f>
        <v>42.311930000000004</v>
      </c>
      <c r="AD198" s="4">
        <f>$O$198*$X$198</f>
        <v>14.68338</v>
      </c>
      <c r="AE198" s="4">
        <f>$K$198*$Y$198</f>
        <v>0</v>
      </c>
      <c r="AF198" s="4">
        <f ca="1">$M$198*$Z$198</f>
        <v>50.291018189800262</v>
      </c>
      <c r="AG198" s="4">
        <f>$O$198*$AA$198</f>
        <v>14.616716880529678</v>
      </c>
    </row>
    <row r="199" spans="1:33" ht="11.25" customHeight="1" x14ac:dyDescent="0.25">
      <c r="A199" s="3" t="s">
        <v>21</v>
      </c>
      <c r="B199" s="3" t="s">
        <v>40</v>
      </c>
      <c r="C199" s="3" t="s">
        <v>23</v>
      </c>
      <c r="D199" s="3" t="s">
        <v>41</v>
      </c>
      <c r="E199" s="3" t="s">
        <v>50</v>
      </c>
      <c r="F199" s="3" t="s">
        <v>51</v>
      </c>
      <c r="G199" s="3" t="s">
        <v>25</v>
      </c>
      <c r="H199" s="3" t="s">
        <v>25</v>
      </c>
      <c r="I199" s="6">
        <v>44470</v>
      </c>
      <c r="J199" s="4">
        <v>0</v>
      </c>
      <c r="K199" s="4">
        <v>0</v>
      </c>
      <c r="L199" s="4">
        <v>8.7999999999999995E-2</v>
      </c>
      <c r="M199" s="4">
        <v>8.7999999999999995E-2</v>
      </c>
      <c r="N199" s="4">
        <v>8.7999999999999995E-2</v>
      </c>
      <c r="O199" s="4">
        <v>8.7999999999999995E-2</v>
      </c>
      <c r="P199" s="4">
        <v>0</v>
      </c>
      <c r="Q199" s="3" t="s">
        <v>26</v>
      </c>
      <c r="R199" s="3">
        <v>0</v>
      </c>
      <c r="S199" s="4">
        <v>0</v>
      </c>
      <c r="T199" s="4">
        <v>34</v>
      </c>
      <c r="U199" s="4">
        <v>52</v>
      </c>
      <c r="V199" s="4">
        <f>IF(ISERROR(VLOOKUP($S$199,'TAR FIN'!$A$1:$O$88,15,0)),0,VLOOKUP($S$199,'TAR FIN'!$A$1:$O$88,15,0))</f>
        <v>0</v>
      </c>
      <c r="W199" s="4">
        <f>IF(ISERROR(VLOOKUP($T$199,'TAR FIN'!$A$1:$O$88,15,0)),0,VLOOKUP($T$199,'TAR FIN'!$A$1:$O$88,15,0))</f>
        <v>418.93</v>
      </c>
      <c r="X199" s="4">
        <f>IF(ISERROR(VLOOKUP($U$199,'TAR FIN'!$A$1:$O$88,15,0)),0,VLOOKUP($U$199,'TAR FIN'!$A$1:$O$88,15,0))</f>
        <v>145.38</v>
      </c>
      <c r="Y199" s="4"/>
      <c r="Z199" s="4">
        <f ca="1">('TUSD BE'!$AM$33+'TUSD BF'!$AM$33+'TUSD CVA'!$AM$33)*(1-CUSTOS!$M$38)</f>
        <v>497.93087316633921</v>
      </c>
      <c r="AA199" s="4">
        <f>('TE BE'!$AB$23+'TE BF'!$AB$23+'TE CVA'!$AB$23)*(1-CUSTOS!$M$38)</f>
        <v>144.71996911415522</v>
      </c>
      <c r="AB199" s="4">
        <f>$K$199*$V$199</f>
        <v>0</v>
      </c>
      <c r="AC199" s="4">
        <f>$M$199*$W$199</f>
        <v>36.865839999999999</v>
      </c>
      <c r="AD199" s="4">
        <f>$O$199*$X$199</f>
        <v>12.793439999999999</v>
      </c>
      <c r="AE199" s="4">
        <f>$K$199*$Y$199</f>
        <v>0</v>
      </c>
      <c r="AF199" s="4">
        <f ca="1">$M$199*$Z$199</f>
        <v>43.817916838637849</v>
      </c>
      <c r="AG199" s="4">
        <f>$O$199*$AA$199</f>
        <v>12.735357282045658</v>
      </c>
    </row>
    <row r="200" spans="1:33" ht="11.25" customHeight="1" x14ac:dyDescent="0.25">
      <c r="A200" s="3" t="s">
        <v>21</v>
      </c>
      <c r="B200" s="3" t="s">
        <v>40</v>
      </c>
      <c r="C200" s="3" t="s">
        <v>23</v>
      </c>
      <c r="D200" s="3" t="s">
        <v>41</v>
      </c>
      <c r="E200" s="3" t="s">
        <v>50</v>
      </c>
      <c r="F200" s="3" t="s">
        <v>51</v>
      </c>
      <c r="G200" s="3" t="s">
        <v>25</v>
      </c>
      <c r="H200" s="3" t="s">
        <v>25</v>
      </c>
      <c r="I200" s="6">
        <v>44501</v>
      </c>
      <c r="J200" s="4">
        <v>0</v>
      </c>
      <c r="K200" s="4">
        <v>0</v>
      </c>
      <c r="L200" s="4">
        <v>0.124</v>
      </c>
      <c r="M200" s="4">
        <v>0.124</v>
      </c>
      <c r="N200" s="4">
        <v>0.124</v>
      </c>
      <c r="O200" s="4">
        <v>0.124</v>
      </c>
      <c r="P200" s="4">
        <v>0</v>
      </c>
      <c r="Q200" s="3" t="s">
        <v>26</v>
      </c>
      <c r="R200" s="3">
        <v>0</v>
      </c>
      <c r="S200" s="4">
        <v>0</v>
      </c>
      <c r="T200" s="4">
        <v>34</v>
      </c>
      <c r="U200" s="4">
        <v>52</v>
      </c>
      <c r="V200" s="4">
        <f>IF(ISERROR(VLOOKUP($S$200,'TAR FIN'!$A$1:$O$88,15,0)),0,VLOOKUP($S$200,'TAR FIN'!$A$1:$O$88,15,0))</f>
        <v>0</v>
      </c>
      <c r="W200" s="4">
        <f>IF(ISERROR(VLOOKUP($T$200,'TAR FIN'!$A$1:$O$88,15,0)),0,VLOOKUP($T$200,'TAR FIN'!$A$1:$O$88,15,0))</f>
        <v>418.93</v>
      </c>
      <c r="X200" s="4">
        <f>IF(ISERROR(VLOOKUP($U$200,'TAR FIN'!$A$1:$O$88,15,0)),0,VLOOKUP($U$200,'TAR FIN'!$A$1:$O$88,15,0))</f>
        <v>145.38</v>
      </c>
      <c r="Y200" s="4"/>
      <c r="Z200" s="4">
        <f ca="1">('TUSD BE'!$AM$33+'TUSD BF'!$AM$33+'TUSD CVA'!$AM$33)*(1-CUSTOS!$M$38)</f>
        <v>497.93087316633921</v>
      </c>
      <c r="AA200" s="4">
        <f>('TE BE'!$AB$23+'TE BF'!$AB$23+'TE CVA'!$AB$23)*(1-CUSTOS!$M$38)</f>
        <v>144.71996911415522</v>
      </c>
      <c r="AB200" s="4">
        <f>$K$200*$V$200</f>
        <v>0</v>
      </c>
      <c r="AC200" s="4">
        <f>$M$200*$W$200</f>
        <v>51.947319999999998</v>
      </c>
      <c r="AD200" s="4">
        <f>$O$200*$X$200</f>
        <v>18.02712</v>
      </c>
      <c r="AE200" s="4">
        <f>$K$200*$Y$200</f>
        <v>0</v>
      </c>
      <c r="AF200" s="4">
        <f ca="1">$M$200*$Z$200</f>
        <v>61.743428272626062</v>
      </c>
      <c r="AG200" s="4">
        <f>$O$200*$AA$200</f>
        <v>17.945276170155246</v>
      </c>
    </row>
    <row r="201" spans="1:33" ht="11.25" customHeight="1" x14ac:dyDescent="0.25">
      <c r="A201" s="3" t="s">
        <v>21</v>
      </c>
      <c r="B201" s="3" t="s">
        <v>40</v>
      </c>
      <c r="C201" s="3" t="s">
        <v>23</v>
      </c>
      <c r="D201" s="3" t="s">
        <v>41</v>
      </c>
      <c r="E201" s="3" t="s">
        <v>50</v>
      </c>
      <c r="F201" s="3" t="s">
        <v>51</v>
      </c>
      <c r="G201" s="3" t="s">
        <v>25</v>
      </c>
      <c r="H201" s="3" t="s">
        <v>25</v>
      </c>
      <c r="I201" s="6">
        <v>44531</v>
      </c>
      <c r="J201" s="4">
        <v>0</v>
      </c>
      <c r="K201" s="4">
        <v>0</v>
      </c>
      <c r="L201" s="4">
        <v>0.498</v>
      </c>
      <c r="M201" s="4">
        <v>0.498</v>
      </c>
      <c r="N201" s="4">
        <v>0.498</v>
      </c>
      <c r="O201" s="4">
        <v>0.498</v>
      </c>
      <c r="P201" s="4">
        <v>0</v>
      </c>
      <c r="Q201" s="3" t="s">
        <v>26</v>
      </c>
      <c r="R201" s="3">
        <v>0</v>
      </c>
      <c r="S201" s="4">
        <v>0</v>
      </c>
      <c r="T201" s="4">
        <v>34</v>
      </c>
      <c r="U201" s="4">
        <v>52</v>
      </c>
      <c r="V201" s="4">
        <f>IF(ISERROR(VLOOKUP($S$201,'TAR FIN'!$A$1:$O$88,15,0)),0,VLOOKUP($S$201,'TAR FIN'!$A$1:$O$88,15,0))</f>
        <v>0</v>
      </c>
      <c r="W201" s="4">
        <f>IF(ISERROR(VLOOKUP($T$201,'TAR FIN'!$A$1:$O$88,15,0)),0,VLOOKUP($T$201,'TAR FIN'!$A$1:$O$88,15,0))</f>
        <v>418.93</v>
      </c>
      <c r="X201" s="4">
        <f>IF(ISERROR(VLOOKUP($U$201,'TAR FIN'!$A$1:$O$88,15,0)),0,VLOOKUP($U$201,'TAR FIN'!$A$1:$O$88,15,0))</f>
        <v>145.38</v>
      </c>
      <c r="Y201" s="4"/>
      <c r="Z201" s="4">
        <f ca="1">('TUSD BE'!$AM$33+'TUSD BF'!$AM$33+'TUSD CVA'!$AM$33)*(1-CUSTOS!$M$38)</f>
        <v>497.93087316633921</v>
      </c>
      <c r="AA201" s="4">
        <f>('TE BE'!$AB$23+'TE BF'!$AB$23+'TE CVA'!$AB$23)*(1-CUSTOS!$M$38)</f>
        <v>144.71996911415522</v>
      </c>
      <c r="AB201" s="4">
        <f>$K$201*$V$201</f>
        <v>0</v>
      </c>
      <c r="AC201" s="4">
        <f>$M$201*$W$201</f>
        <v>208.62714</v>
      </c>
      <c r="AD201" s="4">
        <f>$O$201*$X$201</f>
        <v>72.399239999999992</v>
      </c>
      <c r="AE201" s="4">
        <f>$K$201*$Y$201</f>
        <v>0</v>
      </c>
      <c r="AF201" s="4">
        <f ca="1">$M$201*$Z$201</f>
        <v>247.96957483683693</v>
      </c>
      <c r="AG201" s="4">
        <f>$O$201*$AA$201</f>
        <v>72.070544618849297</v>
      </c>
    </row>
    <row r="202" spans="1:33" ht="11.25" customHeight="1" x14ac:dyDescent="0.25">
      <c r="A202" s="3" t="s">
        <v>21</v>
      </c>
      <c r="B202" s="3" t="s">
        <v>40</v>
      </c>
      <c r="C202" s="3" t="s">
        <v>23</v>
      </c>
      <c r="D202" s="3" t="s">
        <v>41</v>
      </c>
      <c r="E202" s="3" t="s">
        <v>50</v>
      </c>
      <c r="F202" s="3" t="s">
        <v>51</v>
      </c>
      <c r="G202" s="3" t="s">
        <v>25</v>
      </c>
      <c r="H202" s="3" t="s">
        <v>25</v>
      </c>
      <c r="I202" s="6">
        <v>44562</v>
      </c>
      <c r="J202" s="4">
        <v>0</v>
      </c>
      <c r="K202" s="4">
        <v>0</v>
      </c>
      <c r="L202" s="4">
        <v>0.59199999999999997</v>
      </c>
      <c r="M202" s="4">
        <v>0.59199999999999997</v>
      </c>
      <c r="N202" s="4">
        <v>0.59199999999999997</v>
      </c>
      <c r="O202" s="4">
        <v>0.59199999999999997</v>
      </c>
      <c r="P202" s="4">
        <v>0</v>
      </c>
      <c r="Q202" s="3" t="s">
        <v>26</v>
      </c>
      <c r="R202" s="3">
        <v>0</v>
      </c>
      <c r="S202" s="4">
        <v>0</v>
      </c>
      <c r="T202" s="4">
        <v>34</v>
      </c>
      <c r="U202" s="4">
        <v>52</v>
      </c>
      <c r="V202" s="4">
        <f>IF(ISERROR(VLOOKUP($S$202,'TAR FIN'!$A$1:$O$88,15,0)),0,VLOOKUP($S$202,'TAR FIN'!$A$1:$O$88,15,0))</f>
        <v>0</v>
      </c>
      <c r="W202" s="4">
        <f>IF(ISERROR(VLOOKUP($T$202,'TAR FIN'!$A$1:$O$88,15,0)),0,VLOOKUP($T$202,'TAR FIN'!$A$1:$O$88,15,0))</f>
        <v>418.93</v>
      </c>
      <c r="X202" s="4">
        <f>IF(ISERROR(VLOOKUP($U$202,'TAR FIN'!$A$1:$O$88,15,0)),0,VLOOKUP($U$202,'TAR FIN'!$A$1:$O$88,15,0))</f>
        <v>145.38</v>
      </c>
      <c r="Y202" s="4"/>
      <c r="Z202" s="4">
        <f ca="1">('TUSD BE'!$AM$33+'TUSD BF'!$AM$33+'TUSD CVA'!$AM$33)*(1-CUSTOS!$M$38)</f>
        <v>497.93087316633921</v>
      </c>
      <c r="AA202" s="4">
        <f>('TE BE'!$AB$23+'TE BF'!$AB$23+'TE CVA'!$AB$23)*(1-CUSTOS!$M$38)</f>
        <v>144.71996911415522</v>
      </c>
      <c r="AB202" s="4">
        <f>$K$202*$V$202</f>
        <v>0</v>
      </c>
      <c r="AC202" s="4">
        <f>$M$202*$W$202</f>
        <v>248.00655999999998</v>
      </c>
      <c r="AD202" s="4">
        <f>$O$202*$X$202</f>
        <v>86.064959999999999</v>
      </c>
      <c r="AE202" s="4">
        <f>$K$202*$Y$202</f>
        <v>0</v>
      </c>
      <c r="AF202" s="4">
        <f ca="1">$M$202*$Z$202</f>
        <v>294.77507691447278</v>
      </c>
      <c r="AG202" s="4">
        <f>$O$202*$AA$202</f>
        <v>85.67422171557989</v>
      </c>
    </row>
    <row r="203" spans="1:33" ht="11.25" customHeight="1" x14ac:dyDescent="0.25">
      <c r="A203" s="3" t="s">
        <v>21</v>
      </c>
      <c r="B203" s="3" t="s">
        <v>40</v>
      </c>
      <c r="C203" s="3" t="s">
        <v>23</v>
      </c>
      <c r="D203" s="3" t="s">
        <v>41</v>
      </c>
      <c r="E203" s="3" t="s">
        <v>50</v>
      </c>
      <c r="F203" s="3" t="s">
        <v>51</v>
      </c>
      <c r="G203" s="3" t="s">
        <v>25</v>
      </c>
      <c r="H203" s="3" t="s">
        <v>25</v>
      </c>
      <c r="I203" s="6">
        <v>44593</v>
      </c>
      <c r="J203" s="4">
        <v>0</v>
      </c>
      <c r="K203" s="4">
        <v>0</v>
      </c>
      <c r="L203" s="4">
        <v>0.72699999999999998</v>
      </c>
      <c r="M203" s="4">
        <v>0.72699999999999998</v>
      </c>
      <c r="N203" s="4">
        <v>0.72699999999999998</v>
      </c>
      <c r="O203" s="4">
        <v>0.72699999999999998</v>
      </c>
      <c r="P203" s="4">
        <v>0</v>
      </c>
      <c r="Q203" s="3" t="s">
        <v>26</v>
      </c>
      <c r="R203" s="3">
        <v>0</v>
      </c>
      <c r="S203" s="4">
        <v>0</v>
      </c>
      <c r="T203" s="4">
        <v>34</v>
      </c>
      <c r="U203" s="4">
        <v>52</v>
      </c>
      <c r="V203" s="4">
        <f>IF(ISERROR(VLOOKUP($S$203,'TAR FIN'!$A$1:$O$88,15,0)),0,VLOOKUP($S$203,'TAR FIN'!$A$1:$O$88,15,0))</f>
        <v>0</v>
      </c>
      <c r="W203" s="4">
        <f>IF(ISERROR(VLOOKUP($T$203,'TAR FIN'!$A$1:$O$88,15,0)),0,VLOOKUP($T$203,'TAR FIN'!$A$1:$O$88,15,0))</f>
        <v>418.93</v>
      </c>
      <c r="X203" s="4">
        <f>IF(ISERROR(VLOOKUP($U$203,'TAR FIN'!$A$1:$O$88,15,0)),0,VLOOKUP($U$203,'TAR FIN'!$A$1:$O$88,15,0))</f>
        <v>145.38</v>
      </c>
      <c r="Y203" s="4"/>
      <c r="Z203" s="4">
        <f ca="1">('TUSD BE'!$AM$33+'TUSD BF'!$AM$33+'TUSD CVA'!$AM$33)*(1-CUSTOS!$M$38)</f>
        <v>497.93087316633921</v>
      </c>
      <c r="AA203" s="4">
        <f>('TE BE'!$AB$23+'TE BF'!$AB$23+'TE CVA'!$AB$23)*(1-CUSTOS!$M$38)</f>
        <v>144.71996911415522</v>
      </c>
      <c r="AB203" s="4">
        <f>$K$203*$V$203</f>
        <v>0</v>
      </c>
      <c r="AC203" s="4">
        <f>$M$203*$W$203</f>
        <v>304.56211000000002</v>
      </c>
      <c r="AD203" s="4">
        <f>$O$203*$X$203</f>
        <v>105.69126</v>
      </c>
      <c r="AE203" s="4">
        <f>$K$203*$Y$203</f>
        <v>0</v>
      </c>
      <c r="AF203" s="4">
        <f ca="1">$M$203*$Z$203</f>
        <v>361.99574479192859</v>
      </c>
      <c r="AG203" s="4">
        <f>$O$203*$AA$203</f>
        <v>105.21141754599084</v>
      </c>
    </row>
    <row r="204" spans="1:33" ht="11.25" customHeight="1" x14ac:dyDescent="0.25">
      <c r="A204" s="3" t="s">
        <v>21</v>
      </c>
      <c r="B204" s="3" t="s">
        <v>40</v>
      </c>
      <c r="C204" s="3" t="s">
        <v>23</v>
      </c>
      <c r="D204" s="3" t="s">
        <v>41</v>
      </c>
      <c r="E204" s="3" t="s">
        <v>50</v>
      </c>
      <c r="F204" s="3" t="s">
        <v>51</v>
      </c>
      <c r="G204" s="3" t="s">
        <v>25</v>
      </c>
      <c r="H204" s="3" t="s">
        <v>25</v>
      </c>
      <c r="I204" s="6">
        <v>44621</v>
      </c>
      <c r="J204" s="4">
        <v>0</v>
      </c>
      <c r="K204" s="4">
        <v>0</v>
      </c>
      <c r="L204" s="4">
        <v>0.96099999999999997</v>
      </c>
      <c r="M204" s="4">
        <v>0.96099999999999997</v>
      </c>
      <c r="N204" s="4">
        <v>0.96099999999999997</v>
      </c>
      <c r="O204" s="4">
        <v>0.96099999999999997</v>
      </c>
      <c r="P204" s="4">
        <v>0</v>
      </c>
      <c r="Q204" s="3" t="s">
        <v>26</v>
      </c>
      <c r="R204" s="3">
        <v>0</v>
      </c>
      <c r="S204" s="4">
        <v>0</v>
      </c>
      <c r="T204" s="4">
        <v>34</v>
      </c>
      <c r="U204" s="4">
        <v>52</v>
      </c>
      <c r="V204" s="4">
        <f>IF(ISERROR(VLOOKUP($S$204,'TAR FIN'!$A$1:$O$88,15,0)),0,VLOOKUP($S$204,'TAR FIN'!$A$1:$O$88,15,0))</f>
        <v>0</v>
      </c>
      <c r="W204" s="4">
        <f>IF(ISERROR(VLOOKUP($T$204,'TAR FIN'!$A$1:$O$88,15,0)),0,VLOOKUP($T$204,'TAR FIN'!$A$1:$O$88,15,0))</f>
        <v>418.93</v>
      </c>
      <c r="X204" s="4">
        <f>IF(ISERROR(VLOOKUP($U$204,'TAR FIN'!$A$1:$O$88,15,0)),0,VLOOKUP($U$204,'TAR FIN'!$A$1:$O$88,15,0))</f>
        <v>145.38</v>
      </c>
      <c r="Y204" s="4"/>
      <c r="Z204" s="4">
        <f ca="1">('TUSD BE'!$AM$33+'TUSD BF'!$AM$33+'TUSD CVA'!$AM$33)*(1-CUSTOS!$M$38)</f>
        <v>497.93087316633921</v>
      </c>
      <c r="AA204" s="4">
        <f>('TE BE'!$AB$23+'TE BF'!$AB$23+'TE CVA'!$AB$23)*(1-CUSTOS!$M$38)</f>
        <v>144.71996911415522</v>
      </c>
      <c r="AB204" s="4">
        <f>$K$204*$V$204</f>
        <v>0</v>
      </c>
      <c r="AC204" s="4">
        <f>$M$204*$W$204</f>
        <v>402.59172999999998</v>
      </c>
      <c r="AD204" s="4">
        <f>$O$204*$X$204</f>
        <v>139.71017999999998</v>
      </c>
      <c r="AE204" s="4">
        <f>$K$204*$Y$204</f>
        <v>0</v>
      </c>
      <c r="AF204" s="4">
        <f ca="1">$M$204*$Z$204</f>
        <v>478.51156911285199</v>
      </c>
      <c r="AG204" s="4">
        <f>$O$204*$AA$204</f>
        <v>139.07589031870316</v>
      </c>
    </row>
    <row r="205" spans="1:33" ht="11.25" customHeight="1" x14ac:dyDescent="0.25">
      <c r="A205" s="3" t="s">
        <v>21</v>
      </c>
      <c r="B205" s="3" t="s">
        <v>40</v>
      </c>
      <c r="C205" s="3" t="s">
        <v>23</v>
      </c>
      <c r="D205" s="3" t="s">
        <v>41</v>
      </c>
      <c r="E205" s="3" t="s">
        <v>50</v>
      </c>
      <c r="F205" s="3" t="s">
        <v>51</v>
      </c>
      <c r="G205" s="3" t="s">
        <v>25</v>
      </c>
      <c r="H205" s="3" t="s">
        <v>25</v>
      </c>
      <c r="I205" s="6">
        <v>44652</v>
      </c>
      <c r="J205" s="4">
        <v>0</v>
      </c>
      <c r="K205" s="4">
        <v>0</v>
      </c>
      <c r="L205" s="4">
        <v>0.92700000000000005</v>
      </c>
      <c r="M205" s="4">
        <v>0.92700000000000005</v>
      </c>
      <c r="N205" s="4">
        <v>0.92700000000000005</v>
      </c>
      <c r="O205" s="4">
        <v>0.92700000000000005</v>
      </c>
      <c r="P205" s="4">
        <v>0</v>
      </c>
      <c r="Q205" s="3" t="s">
        <v>26</v>
      </c>
      <c r="R205" s="3">
        <v>0</v>
      </c>
      <c r="S205" s="4">
        <v>0</v>
      </c>
      <c r="T205" s="4">
        <v>34</v>
      </c>
      <c r="U205" s="4">
        <v>52</v>
      </c>
      <c r="V205" s="4">
        <f>IF(ISERROR(VLOOKUP($S$205,'TAR FIN'!$A$1:$O$88,15,0)),0,VLOOKUP($S$205,'TAR FIN'!$A$1:$O$88,15,0))</f>
        <v>0</v>
      </c>
      <c r="W205" s="4">
        <f>IF(ISERROR(VLOOKUP($T$205,'TAR FIN'!$A$1:$O$88,15,0)),0,VLOOKUP($T$205,'TAR FIN'!$A$1:$O$88,15,0))</f>
        <v>418.93</v>
      </c>
      <c r="X205" s="4">
        <f>IF(ISERROR(VLOOKUP($U$205,'TAR FIN'!$A$1:$O$88,15,0)),0,VLOOKUP($U$205,'TAR FIN'!$A$1:$O$88,15,0))</f>
        <v>145.38</v>
      </c>
      <c r="Y205" s="4"/>
      <c r="Z205" s="4">
        <f ca="1">('TUSD BE'!$AM$33+'TUSD BF'!$AM$33+'TUSD CVA'!$AM$33)*(1-CUSTOS!$M$38)</f>
        <v>497.93087316633921</v>
      </c>
      <c r="AA205" s="4">
        <f>('TE BE'!$AB$23+'TE BF'!$AB$23+'TE CVA'!$AB$23)*(1-CUSTOS!$M$38)</f>
        <v>144.71996911415522</v>
      </c>
      <c r="AB205" s="4">
        <f>$K$205*$V$205</f>
        <v>0</v>
      </c>
      <c r="AC205" s="4">
        <f>$M$205*$W$205</f>
        <v>388.34811000000002</v>
      </c>
      <c r="AD205" s="4">
        <f>$O$205*$X$205</f>
        <v>134.76725999999999</v>
      </c>
      <c r="AE205" s="4">
        <f>$K$205*$Y$205</f>
        <v>0</v>
      </c>
      <c r="AF205" s="4">
        <f ca="1">$M$205*$Z$205</f>
        <v>461.58191942519647</v>
      </c>
      <c r="AG205" s="4">
        <f>$O$205*$AA$205</f>
        <v>134.15541136882189</v>
      </c>
    </row>
    <row r="206" spans="1:33" ht="11.25" customHeight="1" x14ac:dyDescent="0.25">
      <c r="A206" s="3" t="s">
        <v>21</v>
      </c>
      <c r="B206" s="3" t="s">
        <v>40</v>
      </c>
      <c r="C206" s="3" t="s">
        <v>23</v>
      </c>
      <c r="D206" s="3" t="s">
        <v>41</v>
      </c>
      <c r="E206" s="3" t="s">
        <v>50</v>
      </c>
      <c r="F206" s="3" t="s">
        <v>51</v>
      </c>
      <c r="G206" s="3" t="s">
        <v>25</v>
      </c>
      <c r="H206" s="3" t="s">
        <v>25</v>
      </c>
      <c r="I206" s="6">
        <v>44682</v>
      </c>
      <c r="J206" s="4">
        <v>0</v>
      </c>
      <c r="K206" s="4">
        <v>0</v>
      </c>
      <c r="L206" s="4">
        <v>1.026</v>
      </c>
      <c r="M206" s="4">
        <v>1.026</v>
      </c>
      <c r="N206" s="4">
        <v>1.026</v>
      </c>
      <c r="O206" s="4">
        <v>1.026</v>
      </c>
      <c r="P206" s="4">
        <v>0</v>
      </c>
      <c r="Q206" s="3" t="s">
        <v>26</v>
      </c>
      <c r="R206" s="3">
        <v>0</v>
      </c>
      <c r="S206" s="4">
        <v>0</v>
      </c>
      <c r="T206" s="4">
        <v>34</v>
      </c>
      <c r="U206" s="4">
        <v>52</v>
      </c>
      <c r="V206" s="4">
        <f>IF(ISERROR(VLOOKUP($S$206,'TAR FIN'!$A$1:$O$88,15,0)),0,VLOOKUP($S$206,'TAR FIN'!$A$1:$O$88,15,0))</f>
        <v>0</v>
      </c>
      <c r="W206" s="4">
        <f>IF(ISERROR(VLOOKUP($T$206,'TAR FIN'!$A$1:$O$88,15,0)),0,VLOOKUP($T$206,'TAR FIN'!$A$1:$O$88,15,0))</f>
        <v>418.93</v>
      </c>
      <c r="X206" s="4">
        <f>IF(ISERROR(VLOOKUP($U$206,'TAR FIN'!$A$1:$O$88,15,0)),0,VLOOKUP($U$206,'TAR FIN'!$A$1:$O$88,15,0))</f>
        <v>145.38</v>
      </c>
      <c r="Y206" s="4"/>
      <c r="Z206" s="4">
        <f ca="1">('TUSD BE'!$AM$33+'TUSD BF'!$AM$33+'TUSD CVA'!$AM$33)*(1-CUSTOS!$M$38)</f>
        <v>497.93087316633921</v>
      </c>
      <c r="AA206" s="4">
        <f>('TE BE'!$AB$23+'TE BF'!$AB$23+'TE CVA'!$AB$23)*(1-CUSTOS!$M$38)</f>
        <v>144.71996911415522</v>
      </c>
      <c r="AB206" s="4">
        <f>$K$206*$V$206</f>
        <v>0</v>
      </c>
      <c r="AC206" s="4">
        <f>$M$206*$W$206</f>
        <v>429.82218</v>
      </c>
      <c r="AD206" s="4">
        <f>$O$206*$X$206</f>
        <v>149.15987999999999</v>
      </c>
      <c r="AE206" s="4">
        <f>$K$206*$Y$206</f>
        <v>0</v>
      </c>
      <c r="AF206" s="4">
        <f ca="1">$M$206*$Z$206</f>
        <v>510.87707586866406</v>
      </c>
      <c r="AG206" s="4">
        <f>$O$206*$AA$206</f>
        <v>148.48268831112327</v>
      </c>
    </row>
    <row r="207" spans="1:33" ht="11.25" customHeight="1" x14ac:dyDescent="0.25">
      <c r="A207" s="3" t="s">
        <v>21</v>
      </c>
      <c r="B207" s="3" t="s">
        <v>40</v>
      </c>
      <c r="C207" s="3" t="s">
        <v>23</v>
      </c>
      <c r="D207" s="3" t="s">
        <v>41</v>
      </c>
      <c r="E207" s="3" t="s">
        <v>50</v>
      </c>
      <c r="F207" s="3" t="s">
        <v>51</v>
      </c>
      <c r="G207" s="3" t="s">
        <v>25</v>
      </c>
      <c r="H207" s="3" t="s">
        <v>25</v>
      </c>
      <c r="I207" s="6">
        <v>44713</v>
      </c>
      <c r="J207" s="4">
        <v>0</v>
      </c>
      <c r="K207" s="4">
        <v>0</v>
      </c>
      <c r="L207" s="4">
        <v>1.052</v>
      </c>
      <c r="M207" s="4">
        <v>1.052</v>
      </c>
      <c r="N207" s="4">
        <v>1.052</v>
      </c>
      <c r="O207" s="4">
        <v>1.052</v>
      </c>
      <c r="P207" s="4">
        <v>0</v>
      </c>
      <c r="Q207" s="3" t="s">
        <v>26</v>
      </c>
      <c r="R207" s="3">
        <v>0</v>
      </c>
      <c r="S207" s="4">
        <v>0</v>
      </c>
      <c r="T207" s="4">
        <v>34</v>
      </c>
      <c r="U207" s="4">
        <v>52</v>
      </c>
      <c r="V207" s="4">
        <f>IF(ISERROR(VLOOKUP($S$207,'TAR FIN'!$A$1:$O$88,15,0)),0,VLOOKUP($S$207,'TAR FIN'!$A$1:$O$88,15,0))</f>
        <v>0</v>
      </c>
      <c r="W207" s="4">
        <f>IF(ISERROR(VLOOKUP($T$207,'TAR FIN'!$A$1:$O$88,15,0)),0,VLOOKUP($T$207,'TAR FIN'!$A$1:$O$88,15,0))</f>
        <v>418.93</v>
      </c>
      <c r="X207" s="4">
        <f>IF(ISERROR(VLOOKUP($U$207,'TAR FIN'!$A$1:$O$88,15,0)),0,VLOOKUP($U$207,'TAR FIN'!$A$1:$O$88,15,0))</f>
        <v>145.38</v>
      </c>
      <c r="Y207" s="4"/>
      <c r="Z207" s="4">
        <f ca="1">('TUSD BE'!$AM$33+'TUSD BF'!$AM$33+'TUSD CVA'!$AM$33)*(1-CUSTOS!$M$38)</f>
        <v>497.93087316633921</v>
      </c>
      <c r="AA207" s="4">
        <f>('TE BE'!$AB$23+'TE BF'!$AB$23+'TE CVA'!$AB$23)*(1-CUSTOS!$M$38)</f>
        <v>144.71996911415522</v>
      </c>
      <c r="AB207" s="4">
        <f>$K$207*$V$207</f>
        <v>0</v>
      </c>
      <c r="AC207" s="4">
        <f>$M$207*$W$207</f>
        <v>440.71436</v>
      </c>
      <c r="AD207" s="4">
        <f>$O$207*$X$207</f>
        <v>152.93976000000001</v>
      </c>
      <c r="AE207" s="4">
        <f>$K$207*$Y$207</f>
        <v>0</v>
      </c>
      <c r="AF207" s="4">
        <f ca="1">$M$207*$Z$207</f>
        <v>523.82327857098892</v>
      </c>
      <c r="AG207" s="4">
        <f>$O$207*$AA$207</f>
        <v>152.24540750809129</v>
      </c>
    </row>
    <row r="208" spans="1:33" ht="11.25" customHeight="1" x14ac:dyDescent="0.25">
      <c r="A208" s="3" t="s">
        <v>21</v>
      </c>
      <c r="B208" s="3" t="s">
        <v>40</v>
      </c>
      <c r="C208" s="3" t="s">
        <v>23</v>
      </c>
      <c r="D208" s="3" t="s">
        <v>41</v>
      </c>
      <c r="E208" s="3" t="s">
        <v>50</v>
      </c>
      <c r="F208" s="3" t="s">
        <v>51</v>
      </c>
      <c r="G208" s="3" t="s">
        <v>25</v>
      </c>
      <c r="H208" s="3" t="s">
        <v>25</v>
      </c>
      <c r="I208" s="6">
        <v>44743</v>
      </c>
      <c r="J208" s="4">
        <v>0</v>
      </c>
      <c r="K208" s="4">
        <v>0</v>
      </c>
      <c r="L208" s="4">
        <v>0.86399999999999999</v>
      </c>
      <c r="M208" s="4">
        <v>0.86399999999999999</v>
      </c>
      <c r="N208" s="4">
        <v>0.86399999999999999</v>
      </c>
      <c r="O208" s="4">
        <v>0.86399999999999999</v>
      </c>
      <c r="P208" s="4">
        <v>0</v>
      </c>
      <c r="Q208" s="3" t="s">
        <v>26</v>
      </c>
      <c r="R208" s="3">
        <v>0</v>
      </c>
      <c r="S208" s="4">
        <v>0</v>
      </c>
      <c r="T208" s="4">
        <v>34</v>
      </c>
      <c r="U208" s="4">
        <v>52</v>
      </c>
      <c r="V208" s="4">
        <f>IF(ISERROR(VLOOKUP($S$208,'TAR FIN'!$A$1:$O$88,15,0)),0,VLOOKUP($S$208,'TAR FIN'!$A$1:$O$88,15,0))</f>
        <v>0</v>
      </c>
      <c r="W208" s="4">
        <f>IF(ISERROR(VLOOKUP($T$208,'TAR FIN'!$A$1:$O$88,15,0)),0,VLOOKUP($T$208,'TAR FIN'!$A$1:$O$88,15,0))</f>
        <v>418.93</v>
      </c>
      <c r="X208" s="4">
        <f>IF(ISERROR(VLOOKUP($U$208,'TAR FIN'!$A$1:$O$88,15,0)),0,VLOOKUP($U$208,'TAR FIN'!$A$1:$O$88,15,0))</f>
        <v>145.38</v>
      </c>
      <c r="Y208" s="4"/>
      <c r="Z208" s="4">
        <f ca="1">('TUSD BE'!$AM$33+'TUSD BF'!$AM$33+'TUSD CVA'!$AM$33)*(1-CUSTOS!$M$38)</f>
        <v>497.93087316633921</v>
      </c>
      <c r="AA208" s="4">
        <f>('TE BE'!$AB$23+'TE BF'!$AB$23+'TE CVA'!$AB$23)*(1-CUSTOS!$M$38)</f>
        <v>144.71996911415522</v>
      </c>
      <c r="AB208" s="4">
        <f>$K$208*$V$208</f>
        <v>0</v>
      </c>
      <c r="AC208" s="4">
        <f>$M$208*$W$208</f>
        <v>361.95551999999998</v>
      </c>
      <c r="AD208" s="4">
        <f>$O$208*$X$208</f>
        <v>125.60831999999999</v>
      </c>
      <c r="AE208" s="4">
        <f>$K$208*$Y$208</f>
        <v>0</v>
      </c>
      <c r="AF208" s="4">
        <f ca="1">$M$208*$Z$208</f>
        <v>430.21227441571705</v>
      </c>
      <c r="AG208" s="4">
        <f>$O$208*$AA$208</f>
        <v>125.0380533146301</v>
      </c>
    </row>
    <row r="209" spans="1:33" ht="11.25" customHeight="1" x14ac:dyDescent="0.25">
      <c r="A209" s="3" t="s">
        <v>21</v>
      </c>
      <c r="B209" s="3" t="s">
        <v>40</v>
      </c>
      <c r="C209" s="3" t="s">
        <v>23</v>
      </c>
      <c r="D209" s="3" t="s">
        <v>41</v>
      </c>
      <c r="E209" s="3" t="s">
        <v>50</v>
      </c>
      <c r="F209" s="3" t="s">
        <v>51</v>
      </c>
      <c r="G209" s="3" t="s">
        <v>25</v>
      </c>
      <c r="H209" s="3" t="s">
        <v>25</v>
      </c>
      <c r="I209" s="6">
        <v>44774</v>
      </c>
      <c r="J209" s="4">
        <v>0</v>
      </c>
      <c r="K209" s="4">
        <v>0</v>
      </c>
      <c r="L209" s="4">
        <v>1.3160000000000001</v>
      </c>
      <c r="M209" s="4">
        <v>1.3160000000000001</v>
      </c>
      <c r="N209" s="4">
        <v>1.3160000000000001</v>
      </c>
      <c r="O209" s="4">
        <v>1.3160000000000001</v>
      </c>
      <c r="P209" s="4">
        <v>0</v>
      </c>
      <c r="Q209" s="3" t="s">
        <v>26</v>
      </c>
      <c r="R209" s="3">
        <v>0</v>
      </c>
      <c r="S209" s="4">
        <v>0</v>
      </c>
      <c r="T209" s="4">
        <v>34</v>
      </c>
      <c r="U209" s="4">
        <v>52</v>
      </c>
      <c r="V209" s="4">
        <f>IF(ISERROR(VLOOKUP($S$209,'TAR FIN'!$A$1:$O$88,15,0)),0,VLOOKUP($S$209,'TAR FIN'!$A$1:$O$88,15,0))</f>
        <v>0</v>
      </c>
      <c r="W209" s="4">
        <f>IF(ISERROR(VLOOKUP($T$209,'TAR FIN'!$A$1:$O$88,15,0)),0,VLOOKUP($T$209,'TAR FIN'!$A$1:$O$88,15,0))</f>
        <v>418.93</v>
      </c>
      <c r="X209" s="4">
        <f>IF(ISERROR(VLOOKUP($U$209,'TAR FIN'!$A$1:$O$88,15,0)),0,VLOOKUP($U$209,'TAR FIN'!$A$1:$O$88,15,0))</f>
        <v>145.38</v>
      </c>
      <c r="Y209" s="4"/>
      <c r="Z209" s="4">
        <f ca="1">('TUSD BE'!$AM$33+'TUSD BF'!$AM$33+'TUSD CVA'!$AM$33)*(1-CUSTOS!$M$38)</f>
        <v>497.93087316633921</v>
      </c>
      <c r="AA209" s="4">
        <f>('TE BE'!$AB$23+'TE BF'!$AB$23+'TE CVA'!$AB$23)*(1-CUSTOS!$M$38)</f>
        <v>144.71996911415522</v>
      </c>
      <c r="AB209" s="4">
        <f>$K$209*$V$209</f>
        <v>0</v>
      </c>
      <c r="AC209" s="4">
        <f>$M$209*$W$209</f>
        <v>551.31188000000009</v>
      </c>
      <c r="AD209" s="4">
        <f>$O$209*$X$209</f>
        <v>191.32007999999999</v>
      </c>
      <c r="AE209" s="4">
        <f>$K$209*$Y$209</f>
        <v>0</v>
      </c>
      <c r="AF209" s="4">
        <f ca="1">$M$209*$Z$209</f>
        <v>655.27702908690242</v>
      </c>
      <c r="AG209" s="4">
        <f>$O$209*$AA$209</f>
        <v>190.45147935422827</v>
      </c>
    </row>
    <row r="210" spans="1:33" ht="11.25" customHeight="1" x14ac:dyDescent="0.25">
      <c r="A210" s="3" t="s">
        <v>21</v>
      </c>
      <c r="B210" s="3" t="s">
        <v>40</v>
      </c>
      <c r="C210" s="3" t="s">
        <v>23</v>
      </c>
      <c r="D210" s="3" t="s">
        <v>41</v>
      </c>
      <c r="E210" s="3" t="s">
        <v>50</v>
      </c>
      <c r="F210" s="3" t="s">
        <v>52</v>
      </c>
      <c r="G210" s="3" t="s">
        <v>25</v>
      </c>
      <c r="H210" s="3" t="s">
        <v>25</v>
      </c>
      <c r="I210" s="6">
        <v>44440</v>
      </c>
      <c r="J210" s="4">
        <v>0</v>
      </c>
      <c r="K210" s="4">
        <v>0</v>
      </c>
      <c r="L210" s="4">
        <v>0.11799999999999999</v>
      </c>
      <c r="M210" s="4">
        <v>4.7199999999999999E-2</v>
      </c>
      <c r="N210" s="4">
        <v>0.11799999999999999</v>
      </c>
      <c r="O210" s="4">
        <v>4.7199999999999999E-2</v>
      </c>
      <c r="P210" s="4">
        <v>0</v>
      </c>
      <c r="Q210" s="3" t="s">
        <v>26</v>
      </c>
      <c r="R210" s="3">
        <v>0</v>
      </c>
      <c r="S210" s="4">
        <v>0</v>
      </c>
      <c r="T210" s="4">
        <v>32</v>
      </c>
      <c r="U210" s="4">
        <v>52</v>
      </c>
      <c r="V210" s="4">
        <f>IF(ISERROR(VLOOKUP($S$210,'TAR FIN'!$A$1:$O$88,15,0)),0,VLOOKUP($S$210,'TAR FIN'!$A$1:$O$88,15,0))</f>
        <v>0</v>
      </c>
      <c r="W210" s="4">
        <f>IF(ISERROR(VLOOKUP($T$210,'TAR FIN'!$A$1:$O$88,15,0)),0,VLOOKUP($T$210,'TAR FIN'!$A$1:$O$88,15,0))</f>
        <v>418.93</v>
      </c>
      <c r="X210" s="4">
        <f>IF(ISERROR(VLOOKUP($U$210,'TAR FIN'!$A$1:$O$88,15,0)),0,VLOOKUP($U$210,'TAR FIN'!$A$1:$O$88,15,0))</f>
        <v>145.38</v>
      </c>
      <c r="Y210" s="4"/>
      <c r="Z210" s="4">
        <f ca="1">('TUSD BE'!$AM$33+'TUSD BF'!$AM$33+'TUSD CVA'!$AM$33)*(1-CUSTOS!$M$38)</f>
        <v>497.93087316633921</v>
      </c>
      <c r="AA210" s="4">
        <f>('TE BE'!$AB$23+'TE BF'!$AB$23+'TE CVA'!$AB$23)*(1-CUSTOS!$M$38)</f>
        <v>144.71996911415522</v>
      </c>
      <c r="AB210" s="4">
        <f>$K$210*$V$210</f>
        <v>0</v>
      </c>
      <c r="AC210" s="4">
        <f>$M$210*$W$210</f>
        <v>19.773496000000002</v>
      </c>
      <c r="AD210" s="4">
        <f>$O$210*$X$210</f>
        <v>6.861936</v>
      </c>
      <c r="AE210" s="4">
        <f>$K$210*$Y$210</f>
        <v>0</v>
      </c>
      <c r="AF210" s="4">
        <f ca="1">$M$210*$Z$210</f>
        <v>23.502337213451209</v>
      </c>
      <c r="AG210" s="4">
        <f>$O$210*$AA$210</f>
        <v>6.8307825421881265</v>
      </c>
    </row>
    <row r="211" spans="1:33" ht="11.25" customHeight="1" x14ac:dyDescent="0.25">
      <c r="A211" s="3" t="s">
        <v>21</v>
      </c>
      <c r="B211" s="3" t="s">
        <v>40</v>
      </c>
      <c r="C211" s="3" t="s">
        <v>23</v>
      </c>
      <c r="D211" s="3" t="s">
        <v>41</v>
      </c>
      <c r="E211" s="3" t="s">
        <v>50</v>
      </c>
      <c r="F211" s="3" t="s">
        <v>52</v>
      </c>
      <c r="G211" s="3" t="s">
        <v>25</v>
      </c>
      <c r="H211" s="3" t="s">
        <v>25</v>
      </c>
      <c r="I211" s="6">
        <v>44470</v>
      </c>
      <c r="J211" s="4">
        <v>0</v>
      </c>
      <c r="K211" s="4">
        <v>0</v>
      </c>
      <c r="L211" s="4">
        <v>0.114</v>
      </c>
      <c r="M211" s="4">
        <v>4.5600000000000002E-2</v>
      </c>
      <c r="N211" s="4">
        <v>0.114</v>
      </c>
      <c r="O211" s="4">
        <v>4.5600000000000002E-2</v>
      </c>
      <c r="P211" s="4">
        <v>0</v>
      </c>
      <c r="Q211" s="3" t="s">
        <v>26</v>
      </c>
      <c r="R211" s="3">
        <v>0</v>
      </c>
      <c r="S211" s="4">
        <v>0</v>
      </c>
      <c r="T211" s="4">
        <v>32</v>
      </c>
      <c r="U211" s="4">
        <v>52</v>
      </c>
      <c r="V211" s="4">
        <f>IF(ISERROR(VLOOKUP($S$211,'TAR FIN'!$A$1:$O$88,15,0)),0,VLOOKUP($S$211,'TAR FIN'!$A$1:$O$88,15,0))</f>
        <v>0</v>
      </c>
      <c r="W211" s="4">
        <f>IF(ISERROR(VLOOKUP($T$211,'TAR FIN'!$A$1:$O$88,15,0)),0,VLOOKUP($T$211,'TAR FIN'!$A$1:$O$88,15,0))</f>
        <v>418.93</v>
      </c>
      <c r="X211" s="4">
        <f>IF(ISERROR(VLOOKUP($U$211,'TAR FIN'!$A$1:$O$88,15,0)),0,VLOOKUP($U$211,'TAR FIN'!$A$1:$O$88,15,0))</f>
        <v>145.38</v>
      </c>
      <c r="Y211" s="4"/>
      <c r="Z211" s="4">
        <f ca="1">('TUSD BE'!$AM$33+'TUSD BF'!$AM$33+'TUSD CVA'!$AM$33)*(1-CUSTOS!$M$38)</f>
        <v>497.93087316633921</v>
      </c>
      <c r="AA211" s="4">
        <f>('TE BE'!$AB$23+'TE BF'!$AB$23+'TE CVA'!$AB$23)*(1-CUSTOS!$M$38)</f>
        <v>144.71996911415522</v>
      </c>
      <c r="AB211" s="4">
        <f>$K$211*$V$211</f>
        <v>0</v>
      </c>
      <c r="AC211" s="4">
        <f>$M$211*$W$211</f>
        <v>19.103208000000002</v>
      </c>
      <c r="AD211" s="4">
        <f>$O$211*$X$211</f>
        <v>6.6293280000000001</v>
      </c>
      <c r="AE211" s="4">
        <f>$K$211*$Y$211</f>
        <v>0</v>
      </c>
      <c r="AF211" s="4">
        <f ca="1">$M$211*$Z$211</f>
        <v>22.705647816385071</v>
      </c>
      <c r="AG211" s="4">
        <f>$O$211*$AA$211</f>
        <v>6.5992305916054779</v>
      </c>
    </row>
    <row r="212" spans="1:33" ht="11.25" customHeight="1" x14ac:dyDescent="0.25">
      <c r="A212" s="3" t="s">
        <v>21</v>
      </c>
      <c r="B212" s="3" t="s">
        <v>40</v>
      </c>
      <c r="C212" s="3" t="s">
        <v>23</v>
      </c>
      <c r="D212" s="3" t="s">
        <v>41</v>
      </c>
      <c r="E212" s="3" t="s">
        <v>50</v>
      </c>
      <c r="F212" s="3" t="s">
        <v>52</v>
      </c>
      <c r="G212" s="3" t="s">
        <v>25</v>
      </c>
      <c r="H212" s="3" t="s">
        <v>25</v>
      </c>
      <c r="I212" s="6">
        <v>44501</v>
      </c>
      <c r="J212" s="4">
        <v>0</v>
      </c>
      <c r="K212" s="4">
        <v>0</v>
      </c>
      <c r="L212" s="4">
        <v>0.16900000000000001</v>
      </c>
      <c r="M212" s="4">
        <v>6.7599999999999993E-2</v>
      </c>
      <c r="N212" s="4">
        <v>0.16900000000000001</v>
      </c>
      <c r="O212" s="4">
        <v>6.7599999999999993E-2</v>
      </c>
      <c r="P212" s="4">
        <v>0</v>
      </c>
      <c r="Q212" s="3" t="s">
        <v>26</v>
      </c>
      <c r="R212" s="3">
        <v>0</v>
      </c>
      <c r="S212" s="4">
        <v>0</v>
      </c>
      <c r="T212" s="4">
        <v>32</v>
      </c>
      <c r="U212" s="4">
        <v>52</v>
      </c>
      <c r="V212" s="4">
        <f>IF(ISERROR(VLOOKUP($S$212,'TAR FIN'!$A$1:$O$88,15,0)),0,VLOOKUP($S$212,'TAR FIN'!$A$1:$O$88,15,0))</f>
        <v>0</v>
      </c>
      <c r="W212" s="4">
        <f>IF(ISERROR(VLOOKUP($T$212,'TAR FIN'!$A$1:$O$88,15,0)),0,VLOOKUP($T$212,'TAR FIN'!$A$1:$O$88,15,0))</f>
        <v>418.93</v>
      </c>
      <c r="X212" s="4">
        <f>IF(ISERROR(VLOOKUP($U$212,'TAR FIN'!$A$1:$O$88,15,0)),0,VLOOKUP($U$212,'TAR FIN'!$A$1:$O$88,15,0))</f>
        <v>145.38</v>
      </c>
      <c r="Y212" s="4"/>
      <c r="Z212" s="4">
        <f ca="1">('TUSD BE'!$AM$33+'TUSD BF'!$AM$33+'TUSD CVA'!$AM$33)*(1-CUSTOS!$M$38)</f>
        <v>497.93087316633921</v>
      </c>
      <c r="AA212" s="4">
        <f>('TE BE'!$AB$23+'TE BF'!$AB$23+'TE CVA'!$AB$23)*(1-CUSTOS!$M$38)</f>
        <v>144.71996911415522</v>
      </c>
      <c r="AB212" s="4">
        <f>$K$212*$V$212</f>
        <v>0</v>
      </c>
      <c r="AC212" s="4">
        <f>$M$212*$W$212</f>
        <v>28.319667999999997</v>
      </c>
      <c r="AD212" s="4">
        <f>$O$212*$X$212</f>
        <v>9.8276879999999984</v>
      </c>
      <c r="AE212" s="4">
        <f>$K$212*$Y$212</f>
        <v>0</v>
      </c>
      <c r="AF212" s="4">
        <f ca="1">$M$212*$Z$212</f>
        <v>33.660127026044528</v>
      </c>
      <c r="AG212" s="4">
        <f>$O$212*$AA$212</f>
        <v>9.7830699121168916</v>
      </c>
    </row>
    <row r="213" spans="1:33" ht="11.25" customHeight="1" x14ac:dyDescent="0.25">
      <c r="A213" s="3" t="s">
        <v>21</v>
      </c>
      <c r="B213" s="3" t="s">
        <v>40</v>
      </c>
      <c r="C213" s="3" t="s">
        <v>23</v>
      </c>
      <c r="D213" s="3" t="s">
        <v>41</v>
      </c>
      <c r="E213" s="3" t="s">
        <v>50</v>
      </c>
      <c r="F213" s="3" t="s">
        <v>52</v>
      </c>
      <c r="G213" s="3" t="s">
        <v>25</v>
      </c>
      <c r="H213" s="3" t="s">
        <v>25</v>
      </c>
      <c r="I213" s="6">
        <v>44531</v>
      </c>
      <c r="J213" s="4">
        <v>0</v>
      </c>
      <c r="K213" s="4">
        <v>0</v>
      </c>
      <c r="L213" s="4">
        <v>0.79300000000000004</v>
      </c>
      <c r="M213" s="4">
        <v>0.31719999999999998</v>
      </c>
      <c r="N213" s="4">
        <v>0.79300000000000004</v>
      </c>
      <c r="O213" s="4">
        <v>0.31719999999999998</v>
      </c>
      <c r="P213" s="4">
        <v>0</v>
      </c>
      <c r="Q213" s="3" t="s">
        <v>26</v>
      </c>
      <c r="R213" s="3">
        <v>0</v>
      </c>
      <c r="S213" s="4">
        <v>0</v>
      </c>
      <c r="T213" s="4">
        <v>32</v>
      </c>
      <c r="U213" s="4">
        <v>52</v>
      </c>
      <c r="V213" s="4">
        <f>IF(ISERROR(VLOOKUP($S$213,'TAR FIN'!$A$1:$O$88,15,0)),0,VLOOKUP($S$213,'TAR FIN'!$A$1:$O$88,15,0))</f>
        <v>0</v>
      </c>
      <c r="W213" s="4">
        <f>IF(ISERROR(VLOOKUP($T$213,'TAR FIN'!$A$1:$O$88,15,0)),0,VLOOKUP($T$213,'TAR FIN'!$A$1:$O$88,15,0))</f>
        <v>418.93</v>
      </c>
      <c r="X213" s="4">
        <f>IF(ISERROR(VLOOKUP($U$213,'TAR FIN'!$A$1:$O$88,15,0)),0,VLOOKUP($U$213,'TAR FIN'!$A$1:$O$88,15,0))</f>
        <v>145.38</v>
      </c>
      <c r="Y213" s="4"/>
      <c r="Z213" s="4">
        <f ca="1">('TUSD BE'!$AM$33+'TUSD BF'!$AM$33+'TUSD CVA'!$AM$33)*(1-CUSTOS!$M$38)</f>
        <v>497.93087316633921</v>
      </c>
      <c r="AA213" s="4">
        <f>('TE BE'!$AB$23+'TE BF'!$AB$23+'TE CVA'!$AB$23)*(1-CUSTOS!$M$38)</f>
        <v>144.71996911415522</v>
      </c>
      <c r="AB213" s="4">
        <f>$K$213*$V$213</f>
        <v>0</v>
      </c>
      <c r="AC213" s="4">
        <f>$M$213*$W$213</f>
        <v>132.88459599999999</v>
      </c>
      <c r="AD213" s="4">
        <f>$O$213*$X$213</f>
        <v>46.114535999999994</v>
      </c>
      <c r="AE213" s="4">
        <f>$K$213*$Y$213</f>
        <v>0</v>
      </c>
      <c r="AF213" s="4">
        <f ca="1">$M$213*$Z$213</f>
        <v>157.94367296836279</v>
      </c>
      <c r="AG213" s="4">
        <f>$O$213*$AA$213</f>
        <v>45.905174203010034</v>
      </c>
    </row>
    <row r="214" spans="1:33" ht="11.25" customHeight="1" x14ac:dyDescent="0.25">
      <c r="A214" s="3" t="s">
        <v>21</v>
      </c>
      <c r="B214" s="3" t="s">
        <v>40</v>
      </c>
      <c r="C214" s="3" t="s">
        <v>23</v>
      </c>
      <c r="D214" s="3" t="s">
        <v>41</v>
      </c>
      <c r="E214" s="3" t="s">
        <v>50</v>
      </c>
      <c r="F214" s="3" t="s">
        <v>52</v>
      </c>
      <c r="G214" s="3" t="s">
        <v>25</v>
      </c>
      <c r="H214" s="3" t="s">
        <v>25</v>
      </c>
      <c r="I214" s="6">
        <v>44562</v>
      </c>
      <c r="J214" s="4">
        <v>0</v>
      </c>
      <c r="K214" s="4">
        <v>0</v>
      </c>
      <c r="L214" s="4">
        <v>1.845</v>
      </c>
      <c r="M214" s="4">
        <v>0.73799999999999999</v>
      </c>
      <c r="N214" s="4">
        <v>1.845</v>
      </c>
      <c r="O214" s="4">
        <v>0.73799999999999999</v>
      </c>
      <c r="P214" s="4">
        <v>0</v>
      </c>
      <c r="Q214" s="3" t="s">
        <v>26</v>
      </c>
      <c r="R214" s="3">
        <v>0</v>
      </c>
      <c r="S214" s="4">
        <v>0</v>
      </c>
      <c r="T214" s="4">
        <v>32</v>
      </c>
      <c r="U214" s="4">
        <v>52</v>
      </c>
      <c r="V214" s="4">
        <f>IF(ISERROR(VLOOKUP($S$214,'TAR FIN'!$A$1:$O$88,15,0)),0,VLOOKUP($S$214,'TAR FIN'!$A$1:$O$88,15,0))</f>
        <v>0</v>
      </c>
      <c r="W214" s="4">
        <f>IF(ISERROR(VLOOKUP($T$214,'TAR FIN'!$A$1:$O$88,15,0)),0,VLOOKUP($T$214,'TAR FIN'!$A$1:$O$88,15,0))</f>
        <v>418.93</v>
      </c>
      <c r="X214" s="4">
        <f>IF(ISERROR(VLOOKUP($U$214,'TAR FIN'!$A$1:$O$88,15,0)),0,VLOOKUP($U$214,'TAR FIN'!$A$1:$O$88,15,0))</f>
        <v>145.38</v>
      </c>
      <c r="Y214" s="4"/>
      <c r="Z214" s="4">
        <f ca="1">('TUSD BE'!$AM$33+'TUSD BF'!$AM$33+'TUSD CVA'!$AM$33)*(1-CUSTOS!$M$38)</f>
        <v>497.93087316633921</v>
      </c>
      <c r="AA214" s="4">
        <f>('TE BE'!$AB$23+'TE BF'!$AB$23+'TE CVA'!$AB$23)*(1-CUSTOS!$M$38)</f>
        <v>144.71996911415522</v>
      </c>
      <c r="AB214" s="4">
        <f>$K$214*$V$214</f>
        <v>0</v>
      </c>
      <c r="AC214" s="4">
        <f>$M$214*$W$214</f>
        <v>309.17034000000001</v>
      </c>
      <c r="AD214" s="4">
        <f>$O$214*$X$214</f>
        <v>107.29043999999999</v>
      </c>
      <c r="AE214" s="4">
        <f>$K$214*$Y$214</f>
        <v>0</v>
      </c>
      <c r="AF214" s="4">
        <f ca="1">$M$214*$Z$214</f>
        <v>367.47298439675831</v>
      </c>
      <c r="AG214" s="4">
        <f>$O$214*$AA$214</f>
        <v>106.80333720624655</v>
      </c>
    </row>
    <row r="215" spans="1:33" ht="11.25" customHeight="1" x14ac:dyDescent="0.25">
      <c r="A215" s="3" t="s">
        <v>21</v>
      </c>
      <c r="B215" s="3" t="s">
        <v>40</v>
      </c>
      <c r="C215" s="3" t="s">
        <v>23</v>
      </c>
      <c r="D215" s="3" t="s">
        <v>41</v>
      </c>
      <c r="E215" s="3" t="s">
        <v>50</v>
      </c>
      <c r="F215" s="3" t="s">
        <v>52</v>
      </c>
      <c r="G215" s="3" t="s">
        <v>25</v>
      </c>
      <c r="H215" s="3" t="s">
        <v>25</v>
      </c>
      <c r="I215" s="6">
        <v>44593</v>
      </c>
      <c r="J215" s="4">
        <v>0</v>
      </c>
      <c r="K215" s="4">
        <v>0</v>
      </c>
      <c r="L215" s="4">
        <v>1.7969999999999999</v>
      </c>
      <c r="M215" s="4">
        <v>0.71879999999999999</v>
      </c>
      <c r="N215" s="4">
        <v>1.7969999999999999</v>
      </c>
      <c r="O215" s="4">
        <v>0.71879999999999999</v>
      </c>
      <c r="P215" s="4">
        <v>0</v>
      </c>
      <c r="Q215" s="3" t="s">
        <v>26</v>
      </c>
      <c r="R215" s="3">
        <v>0</v>
      </c>
      <c r="S215" s="4">
        <v>0</v>
      </c>
      <c r="T215" s="4">
        <v>32</v>
      </c>
      <c r="U215" s="4">
        <v>52</v>
      </c>
      <c r="V215" s="4">
        <f>IF(ISERROR(VLOOKUP($S$215,'TAR FIN'!$A$1:$O$88,15,0)),0,VLOOKUP($S$215,'TAR FIN'!$A$1:$O$88,15,0))</f>
        <v>0</v>
      </c>
      <c r="W215" s="4">
        <f>IF(ISERROR(VLOOKUP($T$215,'TAR FIN'!$A$1:$O$88,15,0)),0,VLOOKUP($T$215,'TAR FIN'!$A$1:$O$88,15,0))</f>
        <v>418.93</v>
      </c>
      <c r="X215" s="4">
        <f>IF(ISERROR(VLOOKUP($U$215,'TAR FIN'!$A$1:$O$88,15,0)),0,VLOOKUP($U$215,'TAR FIN'!$A$1:$O$88,15,0))</f>
        <v>145.38</v>
      </c>
      <c r="Y215" s="4"/>
      <c r="Z215" s="4">
        <f ca="1">('TUSD BE'!$AM$33+'TUSD BF'!$AM$33+'TUSD CVA'!$AM$33)*(1-CUSTOS!$M$38)</f>
        <v>497.93087316633921</v>
      </c>
      <c r="AA215" s="4">
        <f>('TE BE'!$AB$23+'TE BF'!$AB$23+'TE CVA'!$AB$23)*(1-CUSTOS!$M$38)</f>
        <v>144.71996911415522</v>
      </c>
      <c r="AB215" s="4">
        <f>$K$215*$V$215</f>
        <v>0</v>
      </c>
      <c r="AC215" s="4">
        <f>$M$215*$W$215</f>
        <v>301.12688400000002</v>
      </c>
      <c r="AD215" s="4">
        <f>$O$215*$X$215</f>
        <v>104.499144</v>
      </c>
      <c r="AE215" s="4">
        <f>$K$215*$Y$215</f>
        <v>0</v>
      </c>
      <c r="AF215" s="4">
        <f ca="1">$M$215*$Z$215</f>
        <v>357.91271163196461</v>
      </c>
      <c r="AG215" s="4">
        <f>$O$215*$AA$215</f>
        <v>104.02471379925477</v>
      </c>
    </row>
    <row r="216" spans="1:33" ht="11.25" customHeight="1" x14ac:dyDescent="0.25">
      <c r="A216" s="3" t="s">
        <v>21</v>
      </c>
      <c r="B216" s="3" t="s">
        <v>40</v>
      </c>
      <c r="C216" s="3" t="s">
        <v>23</v>
      </c>
      <c r="D216" s="3" t="s">
        <v>41</v>
      </c>
      <c r="E216" s="3" t="s">
        <v>50</v>
      </c>
      <c r="F216" s="3" t="s">
        <v>52</v>
      </c>
      <c r="G216" s="3" t="s">
        <v>25</v>
      </c>
      <c r="H216" s="3" t="s">
        <v>25</v>
      </c>
      <c r="I216" s="6">
        <v>44621</v>
      </c>
      <c r="J216" s="4">
        <v>0</v>
      </c>
      <c r="K216" s="4">
        <v>0</v>
      </c>
      <c r="L216" s="4">
        <v>2.5939999999999999</v>
      </c>
      <c r="M216" s="4">
        <v>1.0376000000000001</v>
      </c>
      <c r="N216" s="4">
        <v>2.5939999999999999</v>
      </c>
      <c r="O216" s="4">
        <v>1.0376000000000001</v>
      </c>
      <c r="P216" s="4">
        <v>0</v>
      </c>
      <c r="Q216" s="3" t="s">
        <v>26</v>
      </c>
      <c r="R216" s="3">
        <v>0</v>
      </c>
      <c r="S216" s="4">
        <v>0</v>
      </c>
      <c r="T216" s="4">
        <v>32</v>
      </c>
      <c r="U216" s="4">
        <v>52</v>
      </c>
      <c r="V216" s="4">
        <f>IF(ISERROR(VLOOKUP($S$216,'TAR FIN'!$A$1:$O$88,15,0)),0,VLOOKUP($S$216,'TAR FIN'!$A$1:$O$88,15,0))</f>
        <v>0</v>
      </c>
      <c r="W216" s="4">
        <f>IF(ISERROR(VLOOKUP($T$216,'TAR FIN'!$A$1:$O$88,15,0)),0,VLOOKUP($T$216,'TAR FIN'!$A$1:$O$88,15,0))</f>
        <v>418.93</v>
      </c>
      <c r="X216" s="4">
        <f>IF(ISERROR(VLOOKUP($U$216,'TAR FIN'!$A$1:$O$88,15,0)),0,VLOOKUP($U$216,'TAR FIN'!$A$1:$O$88,15,0))</f>
        <v>145.38</v>
      </c>
      <c r="Y216" s="4"/>
      <c r="Z216" s="4">
        <f ca="1">('TUSD BE'!$AM$33+'TUSD BF'!$AM$33+'TUSD CVA'!$AM$33)*(1-CUSTOS!$M$38)</f>
        <v>497.93087316633921</v>
      </c>
      <c r="AA216" s="4">
        <f>('TE BE'!$AB$23+'TE BF'!$AB$23+'TE CVA'!$AB$23)*(1-CUSTOS!$M$38)</f>
        <v>144.71996911415522</v>
      </c>
      <c r="AB216" s="4">
        <f>$K$216*$V$216</f>
        <v>0</v>
      </c>
      <c r="AC216" s="4">
        <f>$M$216*$W$216</f>
        <v>434.68176800000003</v>
      </c>
      <c r="AD216" s="4">
        <f>$O$216*$X$216</f>
        <v>150.84628800000002</v>
      </c>
      <c r="AE216" s="4">
        <f>$K$216*$Y$216</f>
        <v>0</v>
      </c>
      <c r="AF216" s="4">
        <f ca="1">$M$216*$Z$216</f>
        <v>516.65307399739356</v>
      </c>
      <c r="AG216" s="4">
        <f>$O$216*$AA$216</f>
        <v>150.16143995284747</v>
      </c>
    </row>
    <row r="217" spans="1:33" ht="11.25" customHeight="1" x14ac:dyDescent="0.25">
      <c r="A217" s="3" t="s">
        <v>21</v>
      </c>
      <c r="B217" s="3" t="s">
        <v>40</v>
      </c>
      <c r="C217" s="3" t="s">
        <v>23</v>
      </c>
      <c r="D217" s="3" t="s">
        <v>41</v>
      </c>
      <c r="E217" s="3" t="s">
        <v>50</v>
      </c>
      <c r="F217" s="3" t="s">
        <v>52</v>
      </c>
      <c r="G217" s="3" t="s">
        <v>25</v>
      </c>
      <c r="H217" s="3" t="s">
        <v>25</v>
      </c>
      <c r="I217" s="6">
        <v>44652</v>
      </c>
      <c r="J217" s="4">
        <v>0</v>
      </c>
      <c r="K217" s="4">
        <v>0</v>
      </c>
      <c r="L217" s="4">
        <v>3.2970000000000002</v>
      </c>
      <c r="M217" s="4">
        <v>1.3188</v>
      </c>
      <c r="N217" s="4">
        <v>3.2970000000000002</v>
      </c>
      <c r="O217" s="4">
        <v>1.3188</v>
      </c>
      <c r="P217" s="4">
        <v>0</v>
      </c>
      <c r="Q217" s="3" t="s">
        <v>26</v>
      </c>
      <c r="R217" s="3">
        <v>0</v>
      </c>
      <c r="S217" s="4">
        <v>0</v>
      </c>
      <c r="T217" s="4">
        <v>32</v>
      </c>
      <c r="U217" s="4">
        <v>52</v>
      </c>
      <c r="V217" s="4">
        <f>IF(ISERROR(VLOOKUP($S$217,'TAR FIN'!$A$1:$O$88,15,0)),0,VLOOKUP($S$217,'TAR FIN'!$A$1:$O$88,15,0))</f>
        <v>0</v>
      </c>
      <c r="W217" s="4">
        <f>IF(ISERROR(VLOOKUP($T$217,'TAR FIN'!$A$1:$O$88,15,0)),0,VLOOKUP($T$217,'TAR FIN'!$A$1:$O$88,15,0))</f>
        <v>418.93</v>
      </c>
      <c r="X217" s="4">
        <f>IF(ISERROR(VLOOKUP($U$217,'TAR FIN'!$A$1:$O$88,15,0)),0,VLOOKUP($U$217,'TAR FIN'!$A$1:$O$88,15,0))</f>
        <v>145.38</v>
      </c>
      <c r="Y217" s="4"/>
      <c r="Z217" s="4">
        <f ca="1">('TUSD BE'!$AM$33+'TUSD BF'!$AM$33+'TUSD CVA'!$AM$33)*(1-CUSTOS!$M$38)</f>
        <v>497.93087316633921</v>
      </c>
      <c r="AA217" s="4">
        <f>('TE BE'!$AB$23+'TE BF'!$AB$23+'TE CVA'!$AB$23)*(1-CUSTOS!$M$38)</f>
        <v>144.71996911415522</v>
      </c>
      <c r="AB217" s="4">
        <f>$K$217*$V$217</f>
        <v>0</v>
      </c>
      <c r="AC217" s="4">
        <f>$M$217*$W$217</f>
        <v>552.48488399999997</v>
      </c>
      <c r="AD217" s="4">
        <f>$O$217*$X$217</f>
        <v>191.72714399999998</v>
      </c>
      <c r="AE217" s="4">
        <f>$K$217*$Y$217</f>
        <v>0</v>
      </c>
      <c r="AF217" s="4">
        <f ca="1">$M$217*$Z$217</f>
        <v>656.67123553176816</v>
      </c>
      <c r="AG217" s="4">
        <f>$O$217*$AA$217</f>
        <v>190.85669526774791</v>
      </c>
    </row>
    <row r="218" spans="1:33" ht="11.25" customHeight="1" x14ac:dyDescent="0.25">
      <c r="A218" s="3" t="s">
        <v>21</v>
      </c>
      <c r="B218" s="3" t="s">
        <v>40</v>
      </c>
      <c r="C218" s="3" t="s">
        <v>23</v>
      </c>
      <c r="D218" s="3" t="s">
        <v>41</v>
      </c>
      <c r="E218" s="3" t="s">
        <v>50</v>
      </c>
      <c r="F218" s="3" t="s">
        <v>52</v>
      </c>
      <c r="G218" s="3" t="s">
        <v>25</v>
      </c>
      <c r="H218" s="3" t="s">
        <v>25</v>
      </c>
      <c r="I218" s="6">
        <v>44682</v>
      </c>
      <c r="J218" s="4">
        <v>0</v>
      </c>
      <c r="K218" s="4">
        <v>0</v>
      </c>
      <c r="L218" s="4">
        <v>2.9510000000000001</v>
      </c>
      <c r="M218" s="4">
        <v>1.1803999999999999</v>
      </c>
      <c r="N218" s="4">
        <v>2.9510000000000001</v>
      </c>
      <c r="O218" s="4">
        <v>1.1803999999999999</v>
      </c>
      <c r="P218" s="4">
        <v>0</v>
      </c>
      <c r="Q218" s="3" t="s">
        <v>26</v>
      </c>
      <c r="R218" s="3">
        <v>0</v>
      </c>
      <c r="S218" s="4">
        <v>0</v>
      </c>
      <c r="T218" s="4">
        <v>32</v>
      </c>
      <c r="U218" s="4">
        <v>52</v>
      </c>
      <c r="V218" s="4">
        <f>IF(ISERROR(VLOOKUP($S$218,'TAR FIN'!$A$1:$O$88,15,0)),0,VLOOKUP($S$218,'TAR FIN'!$A$1:$O$88,15,0))</f>
        <v>0</v>
      </c>
      <c r="W218" s="4">
        <f>IF(ISERROR(VLOOKUP($T$218,'TAR FIN'!$A$1:$O$88,15,0)),0,VLOOKUP($T$218,'TAR FIN'!$A$1:$O$88,15,0))</f>
        <v>418.93</v>
      </c>
      <c r="X218" s="4">
        <f>IF(ISERROR(VLOOKUP($U$218,'TAR FIN'!$A$1:$O$88,15,0)),0,VLOOKUP($U$218,'TAR FIN'!$A$1:$O$88,15,0))</f>
        <v>145.38</v>
      </c>
      <c r="Y218" s="4"/>
      <c r="Z218" s="4">
        <f ca="1">('TUSD BE'!$AM$33+'TUSD BF'!$AM$33+'TUSD CVA'!$AM$33)*(1-CUSTOS!$M$38)</f>
        <v>497.93087316633921</v>
      </c>
      <c r="AA218" s="4">
        <f>('TE BE'!$AB$23+'TE BF'!$AB$23+'TE CVA'!$AB$23)*(1-CUSTOS!$M$38)</f>
        <v>144.71996911415522</v>
      </c>
      <c r="AB218" s="4">
        <f>$K$218*$V$218</f>
        <v>0</v>
      </c>
      <c r="AC218" s="4">
        <f>$M$218*$W$218</f>
        <v>494.50497199999995</v>
      </c>
      <c r="AD218" s="4">
        <f>$O$218*$X$218</f>
        <v>171.60655199999997</v>
      </c>
      <c r="AE218" s="4">
        <f>$K$218*$Y$218</f>
        <v>0</v>
      </c>
      <c r="AF218" s="4">
        <f ca="1">$M$218*$Z$218</f>
        <v>587.75760268554677</v>
      </c>
      <c r="AG218" s="4">
        <f>$O$218*$AA$218</f>
        <v>170.8274515423488</v>
      </c>
    </row>
    <row r="219" spans="1:33" ht="11.25" customHeight="1" x14ac:dyDescent="0.25">
      <c r="A219" s="3" t="s">
        <v>21</v>
      </c>
      <c r="B219" s="3" t="s">
        <v>40</v>
      </c>
      <c r="C219" s="3" t="s">
        <v>23</v>
      </c>
      <c r="D219" s="3" t="s">
        <v>41</v>
      </c>
      <c r="E219" s="3" t="s">
        <v>50</v>
      </c>
      <c r="F219" s="3" t="s">
        <v>52</v>
      </c>
      <c r="G219" s="3" t="s">
        <v>25</v>
      </c>
      <c r="H219" s="3" t="s">
        <v>25</v>
      </c>
      <c r="I219" s="6">
        <v>44713</v>
      </c>
      <c r="J219" s="4">
        <v>0</v>
      </c>
      <c r="K219" s="4">
        <v>0</v>
      </c>
      <c r="L219" s="4">
        <v>3.1909999999999998</v>
      </c>
      <c r="M219" s="4">
        <v>1.2764</v>
      </c>
      <c r="N219" s="4">
        <v>3.1909999999999998</v>
      </c>
      <c r="O219" s="4">
        <v>1.2764</v>
      </c>
      <c r="P219" s="4">
        <v>0</v>
      </c>
      <c r="Q219" s="3" t="s">
        <v>26</v>
      </c>
      <c r="R219" s="3">
        <v>0</v>
      </c>
      <c r="S219" s="4">
        <v>0</v>
      </c>
      <c r="T219" s="4">
        <v>32</v>
      </c>
      <c r="U219" s="4">
        <v>52</v>
      </c>
      <c r="V219" s="4">
        <f>IF(ISERROR(VLOOKUP($S$219,'TAR FIN'!$A$1:$O$88,15,0)),0,VLOOKUP($S$219,'TAR FIN'!$A$1:$O$88,15,0))</f>
        <v>0</v>
      </c>
      <c r="W219" s="4">
        <f>IF(ISERROR(VLOOKUP($T$219,'TAR FIN'!$A$1:$O$88,15,0)),0,VLOOKUP($T$219,'TAR FIN'!$A$1:$O$88,15,0))</f>
        <v>418.93</v>
      </c>
      <c r="X219" s="4">
        <f>IF(ISERROR(VLOOKUP($U$219,'TAR FIN'!$A$1:$O$88,15,0)),0,VLOOKUP($U$219,'TAR FIN'!$A$1:$O$88,15,0))</f>
        <v>145.38</v>
      </c>
      <c r="Y219" s="4"/>
      <c r="Z219" s="4">
        <f ca="1">('TUSD BE'!$AM$33+'TUSD BF'!$AM$33+'TUSD CVA'!$AM$33)*(1-CUSTOS!$M$38)</f>
        <v>497.93087316633921</v>
      </c>
      <c r="AA219" s="4">
        <f>('TE BE'!$AB$23+'TE BF'!$AB$23+'TE CVA'!$AB$23)*(1-CUSTOS!$M$38)</f>
        <v>144.71996911415522</v>
      </c>
      <c r="AB219" s="4">
        <f>$K$219*$V$219</f>
        <v>0</v>
      </c>
      <c r="AC219" s="4">
        <f>$M$219*$W$219</f>
        <v>534.72225200000003</v>
      </c>
      <c r="AD219" s="4">
        <f>$O$219*$X$219</f>
        <v>185.56303199999999</v>
      </c>
      <c r="AE219" s="4">
        <f>$K$219*$Y$219</f>
        <v>0</v>
      </c>
      <c r="AF219" s="4">
        <f ca="1">$M$219*$Z$219</f>
        <v>635.55896650951536</v>
      </c>
      <c r="AG219" s="4">
        <f>$O$219*$AA$219</f>
        <v>184.72056857730772</v>
      </c>
    </row>
    <row r="220" spans="1:33" ht="11.25" customHeight="1" x14ac:dyDescent="0.25">
      <c r="A220" s="3" t="s">
        <v>21</v>
      </c>
      <c r="B220" s="3" t="s">
        <v>40</v>
      </c>
      <c r="C220" s="3" t="s">
        <v>23</v>
      </c>
      <c r="D220" s="3" t="s">
        <v>41</v>
      </c>
      <c r="E220" s="3" t="s">
        <v>50</v>
      </c>
      <c r="F220" s="3" t="s">
        <v>52</v>
      </c>
      <c r="G220" s="3" t="s">
        <v>25</v>
      </c>
      <c r="H220" s="3" t="s">
        <v>25</v>
      </c>
      <c r="I220" s="6">
        <v>44743</v>
      </c>
      <c r="J220" s="4">
        <v>0</v>
      </c>
      <c r="K220" s="4">
        <v>0</v>
      </c>
      <c r="L220" s="4">
        <v>2.5390000000000001</v>
      </c>
      <c r="M220" s="4">
        <v>1.0156000000000001</v>
      </c>
      <c r="N220" s="4">
        <v>2.5390000000000001</v>
      </c>
      <c r="O220" s="4">
        <v>1.0156000000000001</v>
      </c>
      <c r="P220" s="4">
        <v>0</v>
      </c>
      <c r="Q220" s="3" t="s">
        <v>26</v>
      </c>
      <c r="R220" s="3">
        <v>0</v>
      </c>
      <c r="S220" s="4">
        <v>0</v>
      </c>
      <c r="T220" s="4">
        <v>32</v>
      </c>
      <c r="U220" s="4">
        <v>52</v>
      </c>
      <c r="V220" s="4">
        <f>IF(ISERROR(VLOOKUP($S$220,'TAR FIN'!$A$1:$O$88,15,0)),0,VLOOKUP($S$220,'TAR FIN'!$A$1:$O$88,15,0))</f>
        <v>0</v>
      </c>
      <c r="W220" s="4">
        <f>IF(ISERROR(VLOOKUP($T$220,'TAR FIN'!$A$1:$O$88,15,0)),0,VLOOKUP($T$220,'TAR FIN'!$A$1:$O$88,15,0))</f>
        <v>418.93</v>
      </c>
      <c r="X220" s="4">
        <f>IF(ISERROR(VLOOKUP($U$220,'TAR FIN'!$A$1:$O$88,15,0)),0,VLOOKUP($U$220,'TAR FIN'!$A$1:$O$88,15,0))</f>
        <v>145.38</v>
      </c>
      <c r="Y220" s="4"/>
      <c r="Z220" s="4">
        <f ca="1">('TUSD BE'!$AM$33+'TUSD BF'!$AM$33+'TUSD CVA'!$AM$33)*(1-CUSTOS!$M$38)</f>
        <v>497.93087316633921</v>
      </c>
      <c r="AA220" s="4">
        <f>('TE BE'!$AB$23+'TE BF'!$AB$23+'TE CVA'!$AB$23)*(1-CUSTOS!$M$38)</f>
        <v>144.71996911415522</v>
      </c>
      <c r="AB220" s="4">
        <f>$K$220*$V$220</f>
        <v>0</v>
      </c>
      <c r="AC220" s="4">
        <f>$M$220*$W$220</f>
        <v>425.46530800000005</v>
      </c>
      <c r="AD220" s="4">
        <f>$O$220*$X$220</f>
        <v>147.64792800000001</v>
      </c>
      <c r="AE220" s="4">
        <f>$K$220*$Y$220</f>
        <v>0</v>
      </c>
      <c r="AF220" s="4">
        <f ca="1">$M$220*$Z$220</f>
        <v>505.69859478773412</v>
      </c>
      <c r="AG220" s="4">
        <f>$O$220*$AA$220</f>
        <v>146.97760063233605</v>
      </c>
    </row>
    <row r="221" spans="1:33" ht="11.25" customHeight="1" x14ac:dyDescent="0.25">
      <c r="A221" s="3" t="s">
        <v>21</v>
      </c>
      <c r="B221" s="3" t="s">
        <v>40</v>
      </c>
      <c r="C221" s="3" t="s">
        <v>23</v>
      </c>
      <c r="D221" s="3" t="s">
        <v>41</v>
      </c>
      <c r="E221" s="3" t="s">
        <v>50</v>
      </c>
      <c r="F221" s="3" t="s">
        <v>52</v>
      </c>
      <c r="G221" s="3" t="s">
        <v>25</v>
      </c>
      <c r="H221" s="3" t="s">
        <v>25</v>
      </c>
      <c r="I221" s="6">
        <v>44774</v>
      </c>
      <c r="J221" s="4">
        <v>0</v>
      </c>
      <c r="K221" s="4">
        <v>0</v>
      </c>
      <c r="L221" s="4">
        <v>3.1230000000000002</v>
      </c>
      <c r="M221" s="4">
        <v>1.2492000000000001</v>
      </c>
      <c r="N221" s="4">
        <v>3.1230000000000002</v>
      </c>
      <c r="O221" s="4">
        <v>1.2492000000000001</v>
      </c>
      <c r="P221" s="4">
        <v>0</v>
      </c>
      <c r="Q221" s="3" t="s">
        <v>26</v>
      </c>
      <c r="R221" s="3">
        <v>0</v>
      </c>
      <c r="S221" s="4">
        <v>0</v>
      </c>
      <c r="T221" s="4">
        <v>32</v>
      </c>
      <c r="U221" s="4">
        <v>52</v>
      </c>
      <c r="V221" s="4">
        <f>IF(ISERROR(VLOOKUP($S$221,'TAR FIN'!$A$1:$O$88,15,0)),0,VLOOKUP($S$221,'TAR FIN'!$A$1:$O$88,15,0))</f>
        <v>0</v>
      </c>
      <c r="W221" s="4">
        <f>IF(ISERROR(VLOOKUP($T$221,'TAR FIN'!$A$1:$O$88,15,0)),0,VLOOKUP($T$221,'TAR FIN'!$A$1:$O$88,15,0))</f>
        <v>418.93</v>
      </c>
      <c r="X221" s="4">
        <f>IF(ISERROR(VLOOKUP($U$221,'TAR FIN'!$A$1:$O$88,15,0)),0,VLOOKUP($U$221,'TAR FIN'!$A$1:$O$88,15,0))</f>
        <v>145.38</v>
      </c>
      <c r="Y221" s="4"/>
      <c r="Z221" s="4">
        <f ca="1">('TUSD BE'!$AM$33+'TUSD BF'!$AM$33+'TUSD CVA'!$AM$33)*(1-CUSTOS!$M$38)</f>
        <v>497.93087316633921</v>
      </c>
      <c r="AA221" s="4">
        <f>('TE BE'!$AB$23+'TE BF'!$AB$23+'TE CVA'!$AB$23)*(1-CUSTOS!$M$38)</f>
        <v>144.71996911415522</v>
      </c>
      <c r="AB221" s="4">
        <f>$K$221*$V$221</f>
        <v>0</v>
      </c>
      <c r="AC221" s="4">
        <f>$M$221*$W$221</f>
        <v>523.32735600000001</v>
      </c>
      <c r="AD221" s="4">
        <f>$O$221*$X$221</f>
        <v>181.60869600000001</v>
      </c>
      <c r="AE221" s="4">
        <f>$K$221*$Y$221</f>
        <v>0</v>
      </c>
      <c r="AF221" s="4">
        <f ca="1">$M$221*$Z$221</f>
        <v>622.01524675939095</v>
      </c>
      <c r="AG221" s="4">
        <f>$O$221*$AA$221</f>
        <v>180.78418541740271</v>
      </c>
    </row>
    <row r="222" spans="1:33" ht="11.25" customHeight="1" x14ac:dyDescent="0.25">
      <c r="A222" s="3" t="s">
        <v>21</v>
      </c>
      <c r="B222" s="3" t="s">
        <v>40</v>
      </c>
      <c r="C222" s="3" t="s">
        <v>23</v>
      </c>
      <c r="D222" s="3" t="s">
        <v>41</v>
      </c>
      <c r="E222" s="3" t="s">
        <v>25</v>
      </c>
      <c r="F222" s="3" t="s">
        <v>25</v>
      </c>
      <c r="G222" s="3" t="s">
        <v>25</v>
      </c>
      <c r="H222" s="3" t="s">
        <v>25</v>
      </c>
      <c r="I222" s="6">
        <v>44440</v>
      </c>
      <c r="J222" s="4">
        <v>0</v>
      </c>
      <c r="K222" s="4">
        <v>0</v>
      </c>
      <c r="L222" s="4">
        <v>274.00599999999997</v>
      </c>
      <c r="M222" s="4">
        <v>274.00599999999997</v>
      </c>
      <c r="N222" s="4">
        <v>274.00599999999997</v>
      </c>
      <c r="O222" s="4">
        <v>274.00599999999997</v>
      </c>
      <c r="P222" s="4">
        <v>1185</v>
      </c>
      <c r="Q222" s="3" t="s">
        <v>26</v>
      </c>
      <c r="R222" s="3">
        <v>0</v>
      </c>
      <c r="S222" s="4">
        <v>0</v>
      </c>
      <c r="T222" s="4">
        <v>34</v>
      </c>
      <c r="U222" s="4">
        <v>52</v>
      </c>
      <c r="V222" s="4">
        <f>IF(ISERROR(VLOOKUP($S$222,'TAR FIN'!$A$1:$O$88,15,0)),0,VLOOKUP($S$222,'TAR FIN'!$A$1:$O$88,15,0))</f>
        <v>0</v>
      </c>
      <c r="W222" s="4">
        <f>IF(ISERROR(VLOOKUP($T$222,'TAR FIN'!$A$1:$O$88,15,0)),0,VLOOKUP($T$222,'TAR FIN'!$A$1:$O$88,15,0))</f>
        <v>418.93</v>
      </c>
      <c r="X222" s="4">
        <f>IF(ISERROR(VLOOKUP($U$222,'TAR FIN'!$A$1:$O$88,15,0)),0,VLOOKUP($U$222,'TAR FIN'!$A$1:$O$88,15,0))</f>
        <v>145.38</v>
      </c>
      <c r="Y222" s="4"/>
      <c r="Z222" s="4">
        <f ca="1">('TUSD BE'!$AM$33+'TUSD BF'!$AM$33+'TUSD CVA'!$AM$33)*(1-CUSTOS!$M$38)</f>
        <v>497.93087316633921</v>
      </c>
      <c r="AA222" s="4">
        <f>('TE BE'!$AB$23+'TE BF'!$AB$23+'TE CVA'!$AB$23)*(1-CUSTOS!$M$38)</f>
        <v>144.71996911415522</v>
      </c>
      <c r="AB222" s="4">
        <f>$K$222*$V$222</f>
        <v>0</v>
      </c>
      <c r="AC222" s="4">
        <f>$M$222*$W$222</f>
        <v>114789.33357999999</v>
      </c>
      <c r="AD222" s="4">
        <f>$O$222*$X$222</f>
        <v>39834.992279999991</v>
      </c>
      <c r="AE222" s="4">
        <f>$K$222*$Y$222</f>
        <v>0</v>
      </c>
      <c r="AF222" s="4">
        <f ca="1">$M$222*$Z$222</f>
        <v>136436.04683281592</v>
      </c>
      <c r="AG222" s="4">
        <f>$O$222*$AA$222</f>
        <v>39654.139857093214</v>
      </c>
    </row>
    <row r="223" spans="1:33" ht="11.25" customHeight="1" x14ac:dyDescent="0.25">
      <c r="A223" s="3" t="s">
        <v>28</v>
      </c>
      <c r="B223" s="3" t="s">
        <v>40</v>
      </c>
      <c r="C223" s="3" t="s">
        <v>23</v>
      </c>
      <c r="D223" s="3" t="s">
        <v>41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44440</v>
      </c>
      <c r="J223" s="4">
        <v>0</v>
      </c>
      <c r="K223" s="4">
        <v>0</v>
      </c>
      <c r="L223" s="4">
        <v>4.5650000000000004</v>
      </c>
      <c r="M223" s="4">
        <v>4.5650000000000004</v>
      </c>
      <c r="N223" s="4">
        <v>4.5650000000000004</v>
      </c>
      <c r="O223" s="4">
        <v>4.5650000000000004</v>
      </c>
      <c r="P223" s="4">
        <v>10</v>
      </c>
      <c r="Q223" s="3" t="s">
        <v>26</v>
      </c>
      <c r="R223" s="3">
        <v>0</v>
      </c>
      <c r="S223" s="4">
        <v>0</v>
      </c>
      <c r="T223" s="4">
        <v>34</v>
      </c>
      <c r="U223" s="4">
        <v>52</v>
      </c>
      <c r="V223" s="4">
        <f>IF(ISERROR(VLOOKUP($S$223,'TAR FIN'!$A$1:$O$88,15,0)),0,VLOOKUP($S$223,'TAR FIN'!$A$1:$O$88,15,0))</f>
        <v>0</v>
      </c>
      <c r="W223" s="4">
        <f>IF(ISERROR(VLOOKUP($T$223,'TAR FIN'!$A$1:$O$88,15,0)),0,VLOOKUP($T$223,'TAR FIN'!$A$1:$O$88,15,0))</f>
        <v>418.93</v>
      </c>
      <c r="X223" s="4">
        <f>IF(ISERROR(VLOOKUP($U$223,'TAR FIN'!$A$1:$O$88,15,0)),0,VLOOKUP($U$223,'TAR FIN'!$A$1:$O$88,15,0))</f>
        <v>145.38</v>
      </c>
      <c r="Y223" s="4"/>
      <c r="Z223" s="4">
        <f ca="1">('TUSD BE'!$AM$33+'TUSD BF'!$AM$33+'TUSD CVA'!$AM$33)*(1-CUSTOS!$M$38)</f>
        <v>497.93087316633921</v>
      </c>
      <c r="AA223" s="4">
        <f>('TE BE'!$AB$23+'TE BF'!$AB$23+'TE CVA'!$AB$23)*(1-CUSTOS!$M$38)</f>
        <v>144.71996911415522</v>
      </c>
      <c r="AB223" s="4">
        <f>$K$223*$V$223</f>
        <v>0</v>
      </c>
      <c r="AC223" s="4">
        <f>$M$223*$W$223</f>
        <v>1912.4154500000002</v>
      </c>
      <c r="AD223" s="4">
        <f>$O$223*$X$223</f>
        <v>663.65970000000004</v>
      </c>
      <c r="AE223" s="4">
        <f>$K$223*$Y$223</f>
        <v>0</v>
      </c>
      <c r="AF223" s="4">
        <f ca="1">$M$223*$Z$223</f>
        <v>2273.0544360043386</v>
      </c>
      <c r="AG223" s="4">
        <f>$O$223*$AA$223</f>
        <v>660.64665900611863</v>
      </c>
    </row>
    <row r="224" spans="1:33" ht="11.25" customHeight="1" x14ac:dyDescent="0.25">
      <c r="A224" s="3" t="s">
        <v>21</v>
      </c>
      <c r="B224" s="3" t="s">
        <v>40</v>
      </c>
      <c r="C224" s="3" t="s">
        <v>23</v>
      </c>
      <c r="D224" s="3" t="s">
        <v>41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44470</v>
      </c>
      <c r="J224" s="4">
        <v>0</v>
      </c>
      <c r="K224" s="4">
        <v>0</v>
      </c>
      <c r="L224" s="4">
        <v>232.971</v>
      </c>
      <c r="M224" s="4">
        <v>232.971</v>
      </c>
      <c r="N224" s="4">
        <v>232.971</v>
      </c>
      <c r="O224" s="4">
        <v>232.971</v>
      </c>
      <c r="P224" s="4">
        <v>1183</v>
      </c>
      <c r="Q224" s="3" t="s">
        <v>26</v>
      </c>
      <c r="R224" s="3">
        <v>0</v>
      </c>
      <c r="S224" s="4">
        <v>0</v>
      </c>
      <c r="T224" s="4">
        <v>34</v>
      </c>
      <c r="U224" s="4">
        <v>52</v>
      </c>
      <c r="V224" s="4">
        <f>IF(ISERROR(VLOOKUP($S$224,'TAR FIN'!$A$1:$O$88,15,0)),0,VLOOKUP($S$224,'TAR FIN'!$A$1:$O$88,15,0))</f>
        <v>0</v>
      </c>
      <c r="W224" s="4">
        <f>IF(ISERROR(VLOOKUP($T$224,'TAR FIN'!$A$1:$O$88,15,0)),0,VLOOKUP($T$224,'TAR FIN'!$A$1:$O$88,15,0))</f>
        <v>418.93</v>
      </c>
      <c r="X224" s="4">
        <f>IF(ISERROR(VLOOKUP($U$224,'TAR FIN'!$A$1:$O$88,15,0)),0,VLOOKUP($U$224,'TAR FIN'!$A$1:$O$88,15,0))</f>
        <v>145.38</v>
      </c>
      <c r="Y224" s="4"/>
      <c r="Z224" s="4">
        <f ca="1">('TUSD BE'!$AM$33+'TUSD BF'!$AM$33+'TUSD CVA'!$AM$33)*(1-CUSTOS!$M$38)</f>
        <v>497.93087316633921</v>
      </c>
      <c r="AA224" s="4">
        <f>('TE BE'!$AB$23+'TE BF'!$AB$23+'TE CVA'!$AB$23)*(1-CUSTOS!$M$38)</f>
        <v>144.71996911415522</v>
      </c>
      <c r="AB224" s="4">
        <f>$K$224*$V$224</f>
        <v>0</v>
      </c>
      <c r="AC224" s="4">
        <f>$M$224*$W$224</f>
        <v>97598.541030000008</v>
      </c>
      <c r="AD224" s="4">
        <f>$O$224*$X$224</f>
        <v>33869.323980000001</v>
      </c>
      <c r="AE224" s="4">
        <f>$K$224*$Y$224</f>
        <v>0</v>
      </c>
      <c r="AF224" s="4">
        <f ca="1">$M$224*$Z$224</f>
        <v>116003.45345243522</v>
      </c>
      <c r="AG224" s="4">
        <f>$O$224*$AA$224</f>
        <v>33715.555924493856</v>
      </c>
    </row>
    <row r="225" spans="1:33" ht="11.25" customHeight="1" x14ac:dyDescent="0.25">
      <c r="A225" s="3" t="s">
        <v>28</v>
      </c>
      <c r="B225" s="3" t="s">
        <v>40</v>
      </c>
      <c r="C225" s="3" t="s">
        <v>23</v>
      </c>
      <c r="D225" s="3" t="s">
        <v>41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44470</v>
      </c>
      <c r="J225" s="4">
        <v>0</v>
      </c>
      <c r="K225" s="4">
        <v>0</v>
      </c>
      <c r="L225" s="4">
        <v>6.0389999999999997</v>
      </c>
      <c r="M225" s="4">
        <v>6.0389999999999997</v>
      </c>
      <c r="N225" s="4">
        <v>6.0389999999999997</v>
      </c>
      <c r="O225" s="4">
        <v>6.0389999999999997</v>
      </c>
      <c r="P225" s="4">
        <v>12</v>
      </c>
      <c r="Q225" s="3" t="s">
        <v>26</v>
      </c>
      <c r="R225" s="3">
        <v>0</v>
      </c>
      <c r="S225" s="4">
        <v>0</v>
      </c>
      <c r="T225" s="4">
        <v>34</v>
      </c>
      <c r="U225" s="4">
        <v>52</v>
      </c>
      <c r="V225" s="4">
        <f>IF(ISERROR(VLOOKUP($S$225,'TAR FIN'!$A$1:$O$88,15,0)),0,VLOOKUP($S$225,'TAR FIN'!$A$1:$O$88,15,0))</f>
        <v>0</v>
      </c>
      <c r="W225" s="4">
        <f>IF(ISERROR(VLOOKUP($T$225,'TAR FIN'!$A$1:$O$88,15,0)),0,VLOOKUP($T$225,'TAR FIN'!$A$1:$O$88,15,0))</f>
        <v>418.93</v>
      </c>
      <c r="X225" s="4">
        <f>IF(ISERROR(VLOOKUP($U$225,'TAR FIN'!$A$1:$O$88,15,0)),0,VLOOKUP($U$225,'TAR FIN'!$A$1:$O$88,15,0))</f>
        <v>145.38</v>
      </c>
      <c r="Y225" s="4"/>
      <c r="Z225" s="4">
        <f ca="1">('TUSD BE'!$AM$33+'TUSD BF'!$AM$33+'TUSD CVA'!$AM$33)*(1-CUSTOS!$M$38)</f>
        <v>497.93087316633921</v>
      </c>
      <c r="AA225" s="4">
        <f>('TE BE'!$AB$23+'TE BF'!$AB$23+'TE CVA'!$AB$23)*(1-CUSTOS!$M$38)</f>
        <v>144.71996911415522</v>
      </c>
      <c r="AB225" s="4">
        <f>$K$225*$V$225</f>
        <v>0</v>
      </c>
      <c r="AC225" s="4">
        <f>$M$225*$W$225</f>
        <v>2529.9182700000001</v>
      </c>
      <c r="AD225" s="4">
        <f>$O$225*$X$225</f>
        <v>877.94981999999993</v>
      </c>
      <c r="AE225" s="4">
        <f>$K$225*$Y$225</f>
        <v>0</v>
      </c>
      <c r="AF225" s="4">
        <f ca="1">$M$225*$Z$225</f>
        <v>3007.0045430515224</v>
      </c>
      <c r="AG225" s="4">
        <f>$O$225*$AA$225</f>
        <v>873.96389348038338</v>
      </c>
    </row>
    <row r="226" spans="1:33" ht="11.25" customHeight="1" x14ac:dyDescent="0.25">
      <c r="A226" s="3" t="s">
        <v>21</v>
      </c>
      <c r="B226" s="3" t="s">
        <v>40</v>
      </c>
      <c r="C226" s="3" t="s">
        <v>23</v>
      </c>
      <c r="D226" s="3" t="s">
        <v>41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44501</v>
      </c>
      <c r="J226" s="4">
        <v>0</v>
      </c>
      <c r="K226" s="4">
        <v>0</v>
      </c>
      <c r="L226" s="4">
        <v>266.19200000000001</v>
      </c>
      <c r="M226" s="4">
        <v>266.19200000000001</v>
      </c>
      <c r="N226" s="4">
        <v>266.19200000000001</v>
      </c>
      <c r="O226" s="4">
        <v>266.19200000000001</v>
      </c>
      <c r="P226" s="4">
        <v>1188</v>
      </c>
      <c r="Q226" s="3" t="s">
        <v>26</v>
      </c>
      <c r="R226" s="3">
        <v>0</v>
      </c>
      <c r="S226" s="4">
        <v>0</v>
      </c>
      <c r="T226" s="4">
        <v>34</v>
      </c>
      <c r="U226" s="4">
        <v>52</v>
      </c>
      <c r="V226" s="4">
        <f>IF(ISERROR(VLOOKUP($S$226,'TAR FIN'!$A$1:$O$88,15,0)),0,VLOOKUP($S$226,'TAR FIN'!$A$1:$O$88,15,0))</f>
        <v>0</v>
      </c>
      <c r="W226" s="4">
        <f>IF(ISERROR(VLOOKUP($T$226,'TAR FIN'!$A$1:$O$88,15,0)),0,VLOOKUP($T$226,'TAR FIN'!$A$1:$O$88,15,0))</f>
        <v>418.93</v>
      </c>
      <c r="X226" s="4">
        <f>IF(ISERROR(VLOOKUP($U$226,'TAR FIN'!$A$1:$O$88,15,0)),0,VLOOKUP($U$226,'TAR FIN'!$A$1:$O$88,15,0))</f>
        <v>145.38</v>
      </c>
      <c r="Y226" s="4"/>
      <c r="Z226" s="4">
        <f ca="1">('TUSD BE'!$AM$33+'TUSD BF'!$AM$33+'TUSD CVA'!$AM$33)*(1-CUSTOS!$M$38)</f>
        <v>497.93087316633921</v>
      </c>
      <c r="AA226" s="4">
        <f>('TE BE'!$AB$23+'TE BF'!$AB$23+'TE CVA'!$AB$23)*(1-CUSTOS!$M$38)</f>
        <v>144.71996911415522</v>
      </c>
      <c r="AB226" s="4">
        <f>$K$226*$V$226</f>
        <v>0</v>
      </c>
      <c r="AC226" s="4">
        <f>$M$226*$W$226</f>
        <v>111515.81456</v>
      </c>
      <c r="AD226" s="4">
        <f>$O$226*$X$226</f>
        <v>38698.992960000003</v>
      </c>
      <c r="AE226" s="4">
        <f>$K$226*$Y$226</f>
        <v>0</v>
      </c>
      <c r="AF226" s="4">
        <f ca="1">$M$226*$Z$226</f>
        <v>132545.21498989416</v>
      </c>
      <c r="AG226" s="4">
        <f>$O$226*$AA$226</f>
        <v>38523.298018435205</v>
      </c>
    </row>
    <row r="227" spans="1:33" ht="11.25" customHeight="1" x14ac:dyDescent="0.25">
      <c r="A227" s="3" t="s">
        <v>28</v>
      </c>
      <c r="B227" s="3" t="s">
        <v>40</v>
      </c>
      <c r="C227" s="3" t="s">
        <v>23</v>
      </c>
      <c r="D227" s="3" t="s">
        <v>41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44501</v>
      </c>
      <c r="J227" s="4">
        <v>0</v>
      </c>
      <c r="K227" s="4">
        <v>0</v>
      </c>
      <c r="L227" s="4">
        <v>3.8940000000000001</v>
      </c>
      <c r="M227" s="4">
        <v>3.8940000000000001</v>
      </c>
      <c r="N227" s="4">
        <v>3.8940000000000001</v>
      </c>
      <c r="O227" s="4">
        <v>3.8940000000000001</v>
      </c>
      <c r="P227" s="4">
        <v>12</v>
      </c>
      <c r="Q227" s="3" t="s">
        <v>26</v>
      </c>
      <c r="R227" s="3">
        <v>0</v>
      </c>
      <c r="S227" s="4">
        <v>0</v>
      </c>
      <c r="T227" s="4">
        <v>34</v>
      </c>
      <c r="U227" s="4">
        <v>52</v>
      </c>
      <c r="V227" s="4">
        <f>IF(ISERROR(VLOOKUP($S$227,'TAR FIN'!$A$1:$O$88,15,0)),0,VLOOKUP($S$227,'TAR FIN'!$A$1:$O$88,15,0))</f>
        <v>0</v>
      </c>
      <c r="W227" s="4">
        <f>IF(ISERROR(VLOOKUP($T$227,'TAR FIN'!$A$1:$O$88,15,0)),0,VLOOKUP($T$227,'TAR FIN'!$A$1:$O$88,15,0))</f>
        <v>418.93</v>
      </c>
      <c r="X227" s="4">
        <f>IF(ISERROR(VLOOKUP($U$227,'TAR FIN'!$A$1:$O$88,15,0)),0,VLOOKUP($U$227,'TAR FIN'!$A$1:$O$88,15,0))</f>
        <v>145.38</v>
      </c>
      <c r="Y227" s="4"/>
      <c r="Z227" s="4">
        <f ca="1">('TUSD BE'!$AM$33+'TUSD BF'!$AM$33+'TUSD CVA'!$AM$33)*(1-CUSTOS!$M$38)</f>
        <v>497.93087316633921</v>
      </c>
      <c r="AA227" s="4">
        <f>('TE BE'!$AB$23+'TE BF'!$AB$23+'TE CVA'!$AB$23)*(1-CUSTOS!$M$38)</f>
        <v>144.71996911415522</v>
      </c>
      <c r="AB227" s="4">
        <f>$K$227*$V$227</f>
        <v>0</v>
      </c>
      <c r="AC227" s="4">
        <f>$M$227*$W$227</f>
        <v>1631.3134200000002</v>
      </c>
      <c r="AD227" s="4">
        <f>$O$227*$X$227</f>
        <v>566.10972000000004</v>
      </c>
      <c r="AE227" s="4">
        <f>$K$227*$Y$227</f>
        <v>0</v>
      </c>
      <c r="AF227" s="4">
        <f ca="1">$M$227*$Z$227</f>
        <v>1938.9428201097251</v>
      </c>
      <c r="AG227" s="4">
        <f>$O$227*$AA$227</f>
        <v>563.53955973052041</v>
      </c>
    </row>
    <row r="228" spans="1:33" ht="11.25" customHeight="1" x14ac:dyDescent="0.25">
      <c r="A228" s="3" t="s">
        <v>21</v>
      </c>
      <c r="B228" s="3" t="s">
        <v>40</v>
      </c>
      <c r="C228" s="3" t="s">
        <v>23</v>
      </c>
      <c r="D228" s="3" t="s">
        <v>41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44531</v>
      </c>
      <c r="J228" s="4">
        <v>0</v>
      </c>
      <c r="K228" s="4">
        <v>0</v>
      </c>
      <c r="L228" s="4">
        <v>309.351</v>
      </c>
      <c r="M228" s="4">
        <v>309.351</v>
      </c>
      <c r="N228" s="4">
        <v>309.351</v>
      </c>
      <c r="O228" s="4">
        <v>309.351</v>
      </c>
      <c r="P228" s="4">
        <v>1181</v>
      </c>
      <c r="Q228" s="3" t="s">
        <v>26</v>
      </c>
      <c r="R228" s="3">
        <v>0</v>
      </c>
      <c r="S228" s="4">
        <v>0</v>
      </c>
      <c r="T228" s="4">
        <v>34</v>
      </c>
      <c r="U228" s="4">
        <v>52</v>
      </c>
      <c r="V228" s="4">
        <f>IF(ISERROR(VLOOKUP($S$228,'TAR FIN'!$A$1:$O$88,15,0)),0,VLOOKUP($S$228,'TAR FIN'!$A$1:$O$88,15,0))</f>
        <v>0</v>
      </c>
      <c r="W228" s="4">
        <f>IF(ISERROR(VLOOKUP($T$228,'TAR FIN'!$A$1:$O$88,15,0)),0,VLOOKUP($T$228,'TAR FIN'!$A$1:$O$88,15,0))</f>
        <v>418.93</v>
      </c>
      <c r="X228" s="4">
        <f>IF(ISERROR(VLOOKUP($U$228,'TAR FIN'!$A$1:$O$88,15,0)),0,VLOOKUP($U$228,'TAR FIN'!$A$1:$O$88,15,0))</f>
        <v>145.38</v>
      </c>
      <c r="Y228" s="4"/>
      <c r="Z228" s="4">
        <f ca="1">('TUSD BE'!$AM$33+'TUSD BF'!$AM$33+'TUSD CVA'!$AM$33)*(1-CUSTOS!$M$38)</f>
        <v>497.93087316633921</v>
      </c>
      <c r="AA228" s="4">
        <f>('TE BE'!$AB$23+'TE BF'!$AB$23+'TE CVA'!$AB$23)*(1-CUSTOS!$M$38)</f>
        <v>144.71996911415522</v>
      </c>
      <c r="AB228" s="4">
        <f>$K$228*$V$228</f>
        <v>0</v>
      </c>
      <c r="AC228" s="4">
        <f>$M$228*$W$228</f>
        <v>129596.41443</v>
      </c>
      <c r="AD228" s="4">
        <f>$O$228*$X$228</f>
        <v>44973.448380000002</v>
      </c>
      <c r="AE228" s="4">
        <f>$K$228*$Y$228</f>
        <v>0</v>
      </c>
      <c r="AF228" s="4">
        <f ca="1">$M$228*$Z$228</f>
        <v>154035.4135448802</v>
      </c>
      <c r="AG228" s="4">
        <f>$O$228*$AA$228</f>
        <v>44769.267165433033</v>
      </c>
    </row>
    <row r="229" spans="1:33" ht="11.25" customHeight="1" x14ac:dyDescent="0.25">
      <c r="A229" s="3" t="s">
        <v>28</v>
      </c>
      <c r="B229" s="3" t="s">
        <v>40</v>
      </c>
      <c r="C229" s="3" t="s">
        <v>23</v>
      </c>
      <c r="D229" s="3" t="s">
        <v>41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44531</v>
      </c>
      <c r="J229" s="4">
        <v>0</v>
      </c>
      <c r="K229" s="4">
        <v>0</v>
      </c>
      <c r="L229" s="4">
        <v>2.5529999999999999</v>
      </c>
      <c r="M229" s="4">
        <v>2.5529999999999999</v>
      </c>
      <c r="N229" s="4">
        <v>2.5529999999999999</v>
      </c>
      <c r="O229" s="4">
        <v>2.5529999999999999</v>
      </c>
      <c r="P229" s="4">
        <v>13</v>
      </c>
      <c r="Q229" s="3" t="s">
        <v>26</v>
      </c>
      <c r="R229" s="3">
        <v>0</v>
      </c>
      <c r="S229" s="4">
        <v>0</v>
      </c>
      <c r="T229" s="4">
        <v>34</v>
      </c>
      <c r="U229" s="4">
        <v>52</v>
      </c>
      <c r="V229" s="4">
        <f>IF(ISERROR(VLOOKUP($S$229,'TAR FIN'!$A$1:$O$88,15,0)),0,VLOOKUP($S$229,'TAR FIN'!$A$1:$O$88,15,0))</f>
        <v>0</v>
      </c>
      <c r="W229" s="4">
        <f>IF(ISERROR(VLOOKUP($T$229,'TAR FIN'!$A$1:$O$88,15,0)),0,VLOOKUP($T$229,'TAR FIN'!$A$1:$O$88,15,0))</f>
        <v>418.93</v>
      </c>
      <c r="X229" s="4">
        <f>IF(ISERROR(VLOOKUP($U$229,'TAR FIN'!$A$1:$O$88,15,0)),0,VLOOKUP($U$229,'TAR FIN'!$A$1:$O$88,15,0))</f>
        <v>145.38</v>
      </c>
      <c r="Y229" s="4"/>
      <c r="Z229" s="4">
        <f ca="1">('TUSD BE'!$AM$33+'TUSD BF'!$AM$33+'TUSD CVA'!$AM$33)*(1-CUSTOS!$M$38)</f>
        <v>497.93087316633921</v>
      </c>
      <c r="AA229" s="4">
        <f>('TE BE'!$AB$23+'TE BF'!$AB$23+'TE CVA'!$AB$23)*(1-CUSTOS!$M$38)</f>
        <v>144.71996911415522</v>
      </c>
      <c r="AB229" s="4">
        <f>$K$229*$V$229</f>
        <v>0</v>
      </c>
      <c r="AC229" s="4">
        <f>$M$229*$W$229</f>
        <v>1069.52829</v>
      </c>
      <c r="AD229" s="4">
        <f>$O$229*$X$229</f>
        <v>371.15513999999996</v>
      </c>
      <c r="AE229" s="4">
        <f>$K$229*$Y$229</f>
        <v>0</v>
      </c>
      <c r="AF229" s="4">
        <f ca="1">$M$229*$Z$229</f>
        <v>1271.217519193664</v>
      </c>
      <c r="AG229" s="4">
        <f>$O$229*$AA$229</f>
        <v>369.47008114843828</v>
      </c>
    </row>
    <row r="230" spans="1:33" ht="11.25" customHeight="1" x14ac:dyDescent="0.25">
      <c r="A230" s="3" t="s">
        <v>21</v>
      </c>
      <c r="B230" s="3" t="s">
        <v>40</v>
      </c>
      <c r="C230" s="3" t="s">
        <v>23</v>
      </c>
      <c r="D230" s="3" t="s">
        <v>41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44562</v>
      </c>
      <c r="J230" s="4">
        <v>0</v>
      </c>
      <c r="K230" s="4">
        <v>0</v>
      </c>
      <c r="L230" s="4">
        <v>338.16500000000002</v>
      </c>
      <c r="M230" s="4">
        <v>338.16500000000002</v>
      </c>
      <c r="N230" s="4">
        <v>338.16500000000002</v>
      </c>
      <c r="O230" s="4">
        <v>338.16500000000002</v>
      </c>
      <c r="P230" s="4">
        <v>1185</v>
      </c>
      <c r="Q230" s="3" t="s">
        <v>26</v>
      </c>
      <c r="R230" s="3">
        <v>0</v>
      </c>
      <c r="S230" s="4">
        <v>0</v>
      </c>
      <c r="T230" s="4">
        <v>34</v>
      </c>
      <c r="U230" s="4">
        <v>52</v>
      </c>
      <c r="V230" s="4">
        <f>IF(ISERROR(VLOOKUP($S$230,'TAR FIN'!$A$1:$O$88,15,0)),0,VLOOKUP($S$230,'TAR FIN'!$A$1:$O$88,15,0))</f>
        <v>0</v>
      </c>
      <c r="W230" s="4">
        <f>IF(ISERROR(VLOOKUP($T$230,'TAR FIN'!$A$1:$O$88,15,0)),0,VLOOKUP($T$230,'TAR FIN'!$A$1:$O$88,15,0))</f>
        <v>418.93</v>
      </c>
      <c r="X230" s="4">
        <f>IF(ISERROR(VLOOKUP($U$230,'TAR FIN'!$A$1:$O$88,15,0)),0,VLOOKUP($U$230,'TAR FIN'!$A$1:$O$88,15,0))</f>
        <v>145.38</v>
      </c>
      <c r="Y230" s="4"/>
      <c r="Z230" s="4">
        <f ca="1">('TUSD BE'!$AM$33+'TUSD BF'!$AM$33+'TUSD CVA'!$AM$33)*(1-CUSTOS!$M$38)</f>
        <v>497.93087316633921</v>
      </c>
      <c r="AA230" s="4">
        <f>('TE BE'!$AB$23+'TE BF'!$AB$23+'TE CVA'!$AB$23)*(1-CUSTOS!$M$38)</f>
        <v>144.71996911415522</v>
      </c>
      <c r="AB230" s="4">
        <f>$K$230*$V$230</f>
        <v>0</v>
      </c>
      <c r="AC230" s="4">
        <f>$M$230*$W$230</f>
        <v>141667.46345000001</v>
      </c>
      <c r="AD230" s="4">
        <f>$O$230*$X$230</f>
        <v>49162.4277</v>
      </c>
      <c r="AE230" s="4">
        <f>$K$230*$Y$230</f>
        <v>0</v>
      </c>
      <c r="AF230" s="4">
        <f ca="1">$M$230*$Z$230</f>
        <v>168382.7937242951</v>
      </c>
      <c r="AG230" s="4">
        <f>$O$230*$AA$230</f>
        <v>48939.228355488303</v>
      </c>
    </row>
    <row r="231" spans="1:33" ht="11.25" customHeight="1" x14ac:dyDescent="0.25">
      <c r="A231" s="3" t="s">
        <v>28</v>
      </c>
      <c r="B231" s="3" t="s">
        <v>40</v>
      </c>
      <c r="C231" s="3" t="s">
        <v>23</v>
      </c>
      <c r="D231" s="3" t="s">
        <v>41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44562</v>
      </c>
      <c r="J231" s="4">
        <v>0</v>
      </c>
      <c r="K231" s="4">
        <v>0</v>
      </c>
      <c r="L231" s="4">
        <v>1.798</v>
      </c>
      <c r="M231" s="4">
        <v>1.798</v>
      </c>
      <c r="N231" s="4">
        <v>1.798</v>
      </c>
      <c r="O231" s="4">
        <v>1.798</v>
      </c>
      <c r="P231" s="4">
        <v>13</v>
      </c>
      <c r="Q231" s="3" t="s">
        <v>26</v>
      </c>
      <c r="R231" s="3">
        <v>0</v>
      </c>
      <c r="S231" s="4">
        <v>0</v>
      </c>
      <c r="T231" s="4">
        <v>34</v>
      </c>
      <c r="U231" s="4">
        <v>52</v>
      </c>
      <c r="V231" s="4">
        <f>IF(ISERROR(VLOOKUP($S$231,'TAR FIN'!$A$1:$O$88,15,0)),0,VLOOKUP($S$231,'TAR FIN'!$A$1:$O$88,15,0))</f>
        <v>0</v>
      </c>
      <c r="W231" s="4">
        <f>IF(ISERROR(VLOOKUP($T$231,'TAR FIN'!$A$1:$O$88,15,0)),0,VLOOKUP($T$231,'TAR FIN'!$A$1:$O$88,15,0))</f>
        <v>418.93</v>
      </c>
      <c r="X231" s="4">
        <f>IF(ISERROR(VLOOKUP($U$231,'TAR FIN'!$A$1:$O$88,15,0)),0,VLOOKUP($U$231,'TAR FIN'!$A$1:$O$88,15,0))</f>
        <v>145.38</v>
      </c>
      <c r="Y231" s="4"/>
      <c r="Z231" s="4">
        <f ca="1">('TUSD BE'!$AM$33+'TUSD BF'!$AM$33+'TUSD CVA'!$AM$33)*(1-CUSTOS!$M$38)</f>
        <v>497.93087316633921</v>
      </c>
      <c r="AA231" s="4">
        <f>('TE BE'!$AB$23+'TE BF'!$AB$23+'TE CVA'!$AB$23)*(1-CUSTOS!$M$38)</f>
        <v>144.71996911415522</v>
      </c>
      <c r="AB231" s="4">
        <f>$K$231*$V$231</f>
        <v>0</v>
      </c>
      <c r="AC231" s="4">
        <f>$M$231*$W$231</f>
        <v>753.23613999999998</v>
      </c>
      <c r="AD231" s="4">
        <f>$O$231*$X$231</f>
        <v>261.39323999999999</v>
      </c>
      <c r="AE231" s="4">
        <f>$K$231*$Y$231</f>
        <v>0</v>
      </c>
      <c r="AF231" s="4">
        <f ca="1">$M$231*$Z$231</f>
        <v>895.27970995307794</v>
      </c>
      <c r="AG231" s="4">
        <f>$O$231*$AA$231</f>
        <v>260.20650446725108</v>
      </c>
    </row>
    <row r="232" spans="1:33" ht="11.25" customHeight="1" x14ac:dyDescent="0.25">
      <c r="A232" s="3" t="s">
        <v>21</v>
      </c>
      <c r="B232" s="3" t="s">
        <v>40</v>
      </c>
      <c r="C232" s="3" t="s">
        <v>23</v>
      </c>
      <c r="D232" s="3" t="s">
        <v>41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44593</v>
      </c>
      <c r="J232" s="4">
        <v>0</v>
      </c>
      <c r="K232" s="4">
        <v>0</v>
      </c>
      <c r="L232" s="4">
        <v>270.61399999999998</v>
      </c>
      <c r="M232" s="4">
        <v>270.61399999999998</v>
      </c>
      <c r="N232" s="4">
        <v>270.61399999999998</v>
      </c>
      <c r="O232" s="4">
        <v>270.61399999999998</v>
      </c>
      <c r="P232" s="4">
        <v>1166</v>
      </c>
      <c r="Q232" s="3" t="s">
        <v>26</v>
      </c>
      <c r="R232" s="3">
        <v>0</v>
      </c>
      <c r="S232" s="4">
        <v>0</v>
      </c>
      <c r="T232" s="4">
        <v>34</v>
      </c>
      <c r="U232" s="4">
        <v>52</v>
      </c>
      <c r="V232" s="4">
        <f>IF(ISERROR(VLOOKUP($S$232,'TAR FIN'!$A$1:$O$88,15,0)),0,VLOOKUP($S$232,'TAR FIN'!$A$1:$O$88,15,0))</f>
        <v>0</v>
      </c>
      <c r="W232" s="4">
        <f>IF(ISERROR(VLOOKUP($T$232,'TAR FIN'!$A$1:$O$88,15,0)),0,VLOOKUP($T$232,'TAR FIN'!$A$1:$O$88,15,0))</f>
        <v>418.93</v>
      </c>
      <c r="X232" s="4">
        <f>IF(ISERROR(VLOOKUP($U$232,'TAR FIN'!$A$1:$O$88,15,0)),0,VLOOKUP($U$232,'TAR FIN'!$A$1:$O$88,15,0))</f>
        <v>145.38</v>
      </c>
      <c r="Y232" s="4"/>
      <c r="Z232" s="4">
        <f ca="1">('TUSD BE'!$AM$33+'TUSD BF'!$AM$33+'TUSD CVA'!$AM$33)*(1-CUSTOS!$M$38)</f>
        <v>497.93087316633921</v>
      </c>
      <c r="AA232" s="4">
        <f>('TE BE'!$AB$23+'TE BF'!$AB$23+'TE CVA'!$AB$23)*(1-CUSTOS!$M$38)</f>
        <v>144.71996911415522</v>
      </c>
      <c r="AB232" s="4">
        <f>$K$232*$V$232</f>
        <v>0</v>
      </c>
      <c r="AC232" s="4">
        <f>$M$232*$W$232</f>
        <v>113368.32302</v>
      </c>
      <c r="AD232" s="4">
        <f>$O$232*$X$232</f>
        <v>39341.863319999997</v>
      </c>
      <c r="AE232" s="4">
        <f>$K$232*$Y$232</f>
        <v>0</v>
      </c>
      <c r="AF232" s="4">
        <f ca="1">$M$232*$Z$232</f>
        <v>134747.06531103569</v>
      </c>
      <c r="AG232" s="4">
        <f>$O$232*$AA$232</f>
        <v>39163.249721857996</v>
      </c>
    </row>
    <row r="233" spans="1:33" ht="11.25" customHeight="1" x14ac:dyDescent="0.25">
      <c r="A233" s="3" t="s">
        <v>27</v>
      </c>
      <c r="B233" s="3" t="s">
        <v>40</v>
      </c>
      <c r="C233" s="3" t="s">
        <v>23</v>
      </c>
      <c r="D233" s="3" t="s">
        <v>41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44593</v>
      </c>
      <c r="J233" s="4">
        <v>0</v>
      </c>
      <c r="K233" s="4">
        <v>0</v>
      </c>
      <c r="L233" s="4">
        <v>-6.0999999999999999E-2</v>
      </c>
      <c r="M233" s="4">
        <v>-6.0999999999999999E-2</v>
      </c>
      <c r="N233" s="4">
        <v>-6.0999999999999999E-2</v>
      </c>
      <c r="O233" s="4">
        <v>-6.0999999999999999E-2</v>
      </c>
      <c r="P233" s="4">
        <v>0</v>
      </c>
      <c r="Q233" s="3" t="s">
        <v>26</v>
      </c>
      <c r="R233" s="3">
        <v>0</v>
      </c>
      <c r="S233" s="4">
        <v>0</v>
      </c>
      <c r="T233" s="4">
        <v>34</v>
      </c>
      <c r="U233" s="4">
        <v>52</v>
      </c>
      <c r="V233" s="4">
        <f>IF(ISERROR(VLOOKUP($S$233,'TAR FIN'!$A$1:$O$88,15,0)),0,VLOOKUP($S$233,'TAR FIN'!$A$1:$O$88,15,0))</f>
        <v>0</v>
      </c>
      <c r="W233" s="4">
        <f>IF(ISERROR(VLOOKUP($T$233,'TAR FIN'!$A$1:$O$88,15,0)),0,VLOOKUP($T$233,'TAR FIN'!$A$1:$O$88,15,0))</f>
        <v>418.93</v>
      </c>
      <c r="X233" s="4">
        <f>IF(ISERROR(VLOOKUP($U$233,'TAR FIN'!$A$1:$O$88,15,0)),0,VLOOKUP($U$233,'TAR FIN'!$A$1:$O$88,15,0))</f>
        <v>145.38</v>
      </c>
      <c r="Y233" s="4"/>
      <c r="Z233" s="4">
        <f ca="1">('TUSD BE'!$AM$33+'TUSD BF'!$AM$33+'TUSD CVA'!$AM$33)*(1-CUSTOS!$M$38)</f>
        <v>497.93087316633921</v>
      </c>
      <c r="AA233" s="4">
        <f>('TE BE'!$AB$23+'TE BF'!$AB$23+'TE CVA'!$AB$23)*(1-CUSTOS!$M$38)</f>
        <v>144.71996911415522</v>
      </c>
      <c r="AB233" s="4">
        <f>$K$233*$V$233</f>
        <v>0</v>
      </c>
      <c r="AC233" s="4">
        <f>$M$233*$W$233</f>
        <v>-25.554729999999999</v>
      </c>
      <c r="AD233" s="4">
        <f>$O$233*$X$233</f>
        <v>-8.8681799999999988</v>
      </c>
      <c r="AE233" s="4">
        <f>$K$233*$Y$233</f>
        <v>0</v>
      </c>
      <c r="AF233" s="4">
        <f ca="1">$M$233*$Z$233</f>
        <v>-30.373783263146692</v>
      </c>
      <c r="AG233" s="4">
        <f>$O$233*$AA$233</f>
        <v>-8.8279181159634685</v>
      </c>
    </row>
    <row r="234" spans="1:33" ht="11.25" customHeight="1" x14ac:dyDescent="0.25">
      <c r="A234" s="3" t="s">
        <v>28</v>
      </c>
      <c r="B234" s="3" t="s">
        <v>40</v>
      </c>
      <c r="C234" s="3" t="s">
        <v>23</v>
      </c>
      <c r="D234" s="3" t="s">
        <v>41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44593</v>
      </c>
      <c r="J234" s="4">
        <v>0</v>
      </c>
      <c r="K234" s="4">
        <v>0</v>
      </c>
      <c r="L234" s="4">
        <v>7.5090000000000003</v>
      </c>
      <c r="M234" s="4">
        <v>7.5090000000000003</v>
      </c>
      <c r="N234" s="4">
        <v>7.5090000000000003</v>
      </c>
      <c r="O234" s="4">
        <v>7.5090000000000003</v>
      </c>
      <c r="P234" s="4">
        <v>16</v>
      </c>
      <c r="Q234" s="3" t="s">
        <v>26</v>
      </c>
      <c r="R234" s="3">
        <v>0</v>
      </c>
      <c r="S234" s="4">
        <v>0</v>
      </c>
      <c r="T234" s="4">
        <v>34</v>
      </c>
      <c r="U234" s="4">
        <v>52</v>
      </c>
      <c r="V234" s="4">
        <f>IF(ISERROR(VLOOKUP($S$234,'TAR FIN'!$A$1:$O$88,15,0)),0,VLOOKUP($S$234,'TAR FIN'!$A$1:$O$88,15,0))</f>
        <v>0</v>
      </c>
      <c r="W234" s="4">
        <f>IF(ISERROR(VLOOKUP($T$234,'TAR FIN'!$A$1:$O$88,15,0)),0,VLOOKUP($T$234,'TAR FIN'!$A$1:$O$88,15,0))</f>
        <v>418.93</v>
      </c>
      <c r="X234" s="4">
        <f>IF(ISERROR(VLOOKUP($U$234,'TAR FIN'!$A$1:$O$88,15,0)),0,VLOOKUP($U$234,'TAR FIN'!$A$1:$O$88,15,0))</f>
        <v>145.38</v>
      </c>
      <c r="Y234" s="4"/>
      <c r="Z234" s="4">
        <f ca="1">('TUSD BE'!$AM$33+'TUSD BF'!$AM$33+'TUSD CVA'!$AM$33)*(1-CUSTOS!$M$38)</f>
        <v>497.93087316633921</v>
      </c>
      <c r="AA234" s="4">
        <f>('TE BE'!$AB$23+'TE BF'!$AB$23+'TE CVA'!$AB$23)*(1-CUSTOS!$M$38)</f>
        <v>144.71996911415522</v>
      </c>
      <c r="AB234" s="4">
        <f>$K$234*$V$234</f>
        <v>0</v>
      </c>
      <c r="AC234" s="4">
        <f>$M$234*$W$234</f>
        <v>3145.7453700000001</v>
      </c>
      <c r="AD234" s="4">
        <f>$O$234*$X$234</f>
        <v>1091.65842</v>
      </c>
      <c r="AE234" s="4">
        <f>$K$234*$Y$234</f>
        <v>0</v>
      </c>
      <c r="AF234" s="4">
        <f ca="1">$M$234*$Z$234</f>
        <v>3738.9629266060415</v>
      </c>
      <c r="AG234" s="4">
        <f>$O$234*$AA$234</f>
        <v>1086.7022480781916</v>
      </c>
    </row>
    <row r="235" spans="1:33" ht="11.25" customHeight="1" x14ac:dyDescent="0.25">
      <c r="A235" s="3" t="s">
        <v>21</v>
      </c>
      <c r="B235" s="3" t="s">
        <v>40</v>
      </c>
      <c r="C235" s="3" t="s">
        <v>23</v>
      </c>
      <c r="D235" s="3" t="s">
        <v>41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44621</v>
      </c>
      <c r="J235" s="4">
        <v>0</v>
      </c>
      <c r="K235" s="4">
        <v>0</v>
      </c>
      <c r="L235" s="4">
        <v>262.28100000000001</v>
      </c>
      <c r="M235" s="4">
        <v>262.28100000000001</v>
      </c>
      <c r="N235" s="4">
        <v>262.28100000000001</v>
      </c>
      <c r="O235" s="4">
        <v>262.28100000000001</v>
      </c>
      <c r="P235" s="4">
        <v>1156</v>
      </c>
      <c r="Q235" s="3" t="s">
        <v>26</v>
      </c>
      <c r="R235" s="3">
        <v>0</v>
      </c>
      <c r="S235" s="4">
        <v>0</v>
      </c>
      <c r="T235" s="4">
        <v>34</v>
      </c>
      <c r="U235" s="4">
        <v>52</v>
      </c>
      <c r="V235" s="4">
        <f>IF(ISERROR(VLOOKUP($S$235,'TAR FIN'!$A$1:$O$88,15,0)),0,VLOOKUP($S$235,'TAR FIN'!$A$1:$O$88,15,0))</f>
        <v>0</v>
      </c>
      <c r="W235" s="4">
        <f>IF(ISERROR(VLOOKUP($T$235,'TAR FIN'!$A$1:$O$88,15,0)),0,VLOOKUP($T$235,'TAR FIN'!$A$1:$O$88,15,0))</f>
        <v>418.93</v>
      </c>
      <c r="X235" s="4">
        <f>IF(ISERROR(VLOOKUP($U$235,'TAR FIN'!$A$1:$O$88,15,0)),0,VLOOKUP($U$235,'TAR FIN'!$A$1:$O$88,15,0))</f>
        <v>145.38</v>
      </c>
      <c r="Y235" s="4"/>
      <c r="Z235" s="4">
        <f ca="1">('TUSD BE'!$AM$33+'TUSD BF'!$AM$33+'TUSD CVA'!$AM$33)*(1-CUSTOS!$M$38)</f>
        <v>497.93087316633921</v>
      </c>
      <c r="AA235" s="4">
        <f>('TE BE'!$AB$23+'TE BF'!$AB$23+'TE CVA'!$AB$23)*(1-CUSTOS!$M$38)</f>
        <v>144.71996911415522</v>
      </c>
      <c r="AB235" s="4">
        <f>$K$235*$V$235</f>
        <v>0</v>
      </c>
      <c r="AC235" s="4">
        <f>$M$235*$W$235</f>
        <v>109877.37933000001</v>
      </c>
      <c r="AD235" s="4">
        <f>$O$235*$X$235</f>
        <v>38130.411780000002</v>
      </c>
      <c r="AE235" s="4">
        <f>$K$235*$Y$235</f>
        <v>0</v>
      </c>
      <c r="AF235" s="4">
        <f ca="1">$M$235*$Z$235</f>
        <v>130597.80734494062</v>
      </c>
      <c r="AG235" s="4">
        <f>$O$235*$AA$235</f>
        <v>37957.29821922975</v>
      </c>
    </row>
    <row r="236" spans="1:33" ht="11.25" customHeight="1" x14ac:dyDescent="0.25">
      <c r="A236" s="3" t="s">
        <v>28</v>
      </c>
      <c r="B236" s="3" t="s">
        <v>40</v>
      </c>
      <c r="C236" s="3" t="s">
        <v>23</v>
      </c>
      <c r="D236" s="3" t="s">
        <v>41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44621</v>
      </c>
      <c r="J236" s="4">
        <v>0</v>
      </c>
      <c r="K236" s="4">
        <v>0</v>
      </c>
      <c r="L236" s="4">
        <v>8.1289999999999996</v>
      </c>
      <c r="M236" s="4">
        <v>8.1289999999999996</v>
      </c>
      <c r="N236" s="4">
        <v>8.1289999999999996</v>
      </c>
      <c r="O236" s="4">
        <v>8.1289999999999996</v>
      </c>
      <c r="P236" s="4">
        <v>20</v>
      </c>
      <c r="Q236" s="3" t="s">
        <v>26</v>
      </c>
      <c r="R236" s="3">
        <v>0</v>
      </c>
      <c r="S236" s="4">
        <v>0</v>
      </c>
      <c r="T236" s="4">
        <v>34</v>
      </c>
      <c r="U236" s="4">
        <v>52</v>
      </c>
      <c r="V236" s="4">
        <f>IF(ISERROR(VLOOKUP($S$236,'TAR FIN'!$A$1:$O$88,15,0)),0,VLOOKUP($S$236,'TAR FIN'!$A$1:$O$88,15,0))</f>
        <v>0</v>
      </c>
      <c r="W236" s="4">
        <f>IF(ISERROR(VLOOKUP($T$236,'TAR FIN'!$A$1:$O$88,15,0)),0,VLOOKUP($T$236,'TAR FIN'!$A$1:$O$88,15,0))</f>
        <v>418.93</v>
      </c>
      <c r="X236" s="4">
        <f>IF(ISERROR(VLOOKUP($U$236,'TAR FIN'!$A$1:$O$88,15,0)),0,VLOOKUP($U$236,'TAR FIN'!$A$1:$O$88,15,0))</f>
        <v>145.38</v>
      </c>
      <c r="Y236" s="4"/>
      <c r="Z236" s="4">
        <f ca="1">('TUSD BE'!$AM$33+'TUSD BF'!$AM$33+'TUSD CVA'!$AM$33)*(1-CUSTOS!$M$38)</f>
        <v>497.93087316633921</v>
      </c>
      <c r="AA236" s="4">
        <f>('TE BE'!$AB$23+'TE BF'!$AB$23+'TE CVA'!$AB$23)*(1-CUSTOS!$M$38)</f>
        <v>144.71996911415522</v>
      </c>
      <c r="AB236" s="4">
        <f>$K$236*$V$236</f>
        <v>0</v>
      </c>
      <c r="AC236" s="4">
        <f>$M$236*$W$236</f>
        <v>3405.4819699999998</v>
      </c>
      <c r="AD236" s="4">
        <f>$O$236*$X$236</f>
        <v>1181.7940199999998</v>
      </c>
      <c r="AE236" s="4">
        <f>$K$236*$Y$236</f>
        <v>0</v>
      </c>
      <c r="AF236" s="4">
        <f ca="1">$M$236*$Z$236</f>
        <v>4047.6800679691714</v>
      </c>
      <c r="AG236" s="4">
        <f>$O$236*$AA$236</f>
        <v>1176.4286289289678</v>
      </c>
    </row>
    <row r="237" spans="1:33" ht="11.25" customHeight="1" x14ac:dyDescent="0.25">
      <c r="A237" s="3" t="s">
        <v>21</v>
      </c>
      <c r="B237" s="3" t="s">
        <v>40</v>
      </c>
      <c r="C237" s="3" t="s">
        <v>23</v>
      </c>
      <c r="D237" s="3" t="s">
        <v>41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44652</v>
      </c>
      <c r="J237" s="4">
        <v>0</v>
      </c>
      <c r="K237" s="4">
        <v>0</v>
      </c>
      <c r="L237" s="4">
        <v>253.72900000000001</v>
      </c>
      <c r="M237" s="4">
        <v>253.72900000000001</v>
      </c>
      <c r="N237" s="4">
        <v>253.72900000000001</v>
      </c>
      <c r="O237" s="4">
        <v>253.72900000000001</v>
      </c>
      <c r="P237" s="4">
        <v>1150</v>
      </c>
      <c r="Q237" s="3" t="s">
        <v>26</v>
      </c>
      <c r="R237" s="3">
        <v>0</v>
      </c>
      <c r="S237" s="4">
        <v>0</v>
      </c>
      <c r="T237" s="4">
        <v>34</v>
      </c>
      <c r="U237" s="4">
        <v>52</v>
      </c>
      <c r="V237" s="4">
        <f>IF(ISERROR(VLOOKUP($S$237,'TAR FIN'!$A$1:$O$88,15,0)),0,VLOOKUP($S$237,'TAR FIN'!$A$1:$O$88,15,0))</f>
        <v>0</v>
      </c>
      <c r="W237" s="4">
        <f>IF(ISERROR(VLOOKUP($T$237,'TAR FIN'!$A$1:$O$88,15,0)),0,VLOOKUP($T$237,'TAR FIN'!$A$1:$O$88,15,0))</f>
        <v>418.93</v>
      </c>
      <c r="X237" s="4">
        <f>IF(ISERROR(VLOOKUP($U$237,'TAR FIN'!$A$1:$O$88,15,0)),0,VLOOKUP($U$237,'TAR FIN'!$A$1:$O$88,15,0))</f>
        <v>145.38</v>
      </c>
      <c r="Y237" s="4"/>
      <c r="Z237" s="4">
        <f ca="1">('TUSD BE'!$AM$33+'TUSD BF'!$AM$33+'TUSD CVA'!$AM$33)*(1-CUSTOS!$M$38)</f>
        <v>497.93087316633921</v>
      </c>
      <c r="AA237" s="4">
        <f>('TE BE'!$AB$23+'TE BF'!$AB$23+'TE CVA'!$AB$23)*(1-CUSTOS!$M$38)</f>
        <v>144.71996911415522</v>
      </c>
      <c r="AB237" s="4">
        <f>$K$237*$V$237</f>
        <v>0</v>
      </c>
      <c r="AC237" s="4">
        <f>$M$237*$W$237</f>
        <v>106294.68997000001</v>
      </c>
      <c r="AD237" s="4">
        <f>$O$237*$X$237</f>
        <v>36887.122020000003</v>
      </c>
      <c r="AE237" s="4">
        <f>$K$237*$Y$237</f>
        <v>0</v>
      </c>
      <c r="AF237" s="4">
        <f ca="1">$M$237*$Z$237</f>
        <v>126339.5025176221</v>
      </c>
      <c r="AG237" s="4">
        <f>$O$237*$AA$237</f>
        <v>36719.653043365492</v>
      </c>
    </row>
    <row r="238" spans="1:33" ht="11.25" customHeight="1" x14ac:dyDescent="0.25">
      <c r="A238" s="3" t="s">
        <v>28</v>
      </c>
      <c r="B238" s="3" t="s">
        <v>40</v>
      </c>
      <c r="C238" s="3" t="s">
        <v>23</v>
      </c>
      <c r="D238" s="3" t="s">
        <v>41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44652</v>
      </c>
      <c r="J238" s="4">
        <v>0</v>
      </c>
      <c r="K238" s="4">
        <v>0</v>
      </c>
      <c r="L238" s="4">
        <v>11.025</v>
      </c>
      <c r="M238" s="4">
        <v>11.025</v>
      </c>
      <c r="N238" s="4">
        <v>11.025</v>
      </c>
      <c r="O238" s="4">
        <v>11.025</v>
      </c>
      <c r="P238" s="4">
        <v>20</v>
      </c>
      <c r="Q238" s="3" t="s">
        <v>26</v>
      </c>
      <c r="R238" s="3">
        <v>0</v>
      </c>
      <c r="S238" s="4">
        <v>0</v>
      </c>
      <c r="T238" s="4">
        <v>34</v>
      </c>
      <c r="U238" s="4">
        <v>52</v>
      </c>
      <c r="V238" s="4">
        <f>IF(ISERROR(VLOOKUP($S$238,'TAR FIN'!$A$1:$O$88,15,0)),0,VLOOKUP($S$238,'TAR FIN'!$A$1:$O$88,15,0))</f>
        <v>0</v>
      </c>
      <c r="W238" s="4">
        <f>IF(ISERROR(VLOOKUP($T$238,'TAR FIN'!$A$1:$O$88,15,0)),0,VLOOKUP($T$238,'TAR FIN'!$A$1:$O$88,15,0))</f>
        <v>418.93</v>
      </c>
      <c r="X238" s="4">
        <f>IF(ISERROR(VLOOKUP($U$238,'TAR FIN'!$A$1:$O$88,15,0)),0,VLOOKUP($U$238,'TAR FIN'!$A$1:$O$88,15,0))</f>
        <v>145.38</v>
      </c>
      <c r="Y238" s="4"/>
      <c r="Z238" s="4">
        <f ca="1">('TUSD BE'!$AM$33+'TUSD BF'!$AM$33+'TUSD CVA'!$AM$33)*(1-CUSTOS!$M$38)</f>
        <v>497.93087316633921</v>
      </c>
      <c r="AA238" s="4">
        <f>('TE BE'!$AB$23+'TE BF'!$AB$23+'TE CVA'!$AB$23)*(1-CUSTOS!$M$38)</f>
        <v>144.71996911415522</v>
      </c>
      <c r="AB238" s="4">
        <f>$K$238*$V$238</f>
        <v>0</v>
      </c>
      <c r="AC238" s="4">
        <f>$M$238*$W$238</f>
        <v>4618.7032500000005</v>
      </c>
      <c r="AD238" s="4">
        <f>$O$238*$X$238</f>
        <v>1602.8145</v>
      </c>
      <c r="AE238" s="4">
        <f>$K$238*$Y$238</f>
        <v>0</v>
      </c>
      <c r="AF238" s="4">
        <f ca="1">$M$238*$Z$238</f>
        <v>5489.6878766588898</v>
      </c>
      <c r="AG238" s="4">
        <f>$O$238*$AA$238</f>
        <v>1595.5376594835614</v>
      </c>
    </row>
    <row r="239" spans="1:33" ht="11.25" customHeight="1" x14ac:dyDescent="0.25">
      <c r="A239" s="3" t="s">
        <v>21</v>
      </c>
      <c r="B239" s="3" t="s">
        <v>40</v>
      </c>
      <c r="C239" s="3" t="s">
        <v>23</v>
      </c>
      <c r="D239" s="3" t="s">
        <v>41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44682</v>
      </c>
      <c r="J239" s="4">
        <v>0</v>
      </c>
      <c r="K239" s="4">
        <v>0</v>
      </c>
      <c r="L239" s="4">
        <v>227.773</v>
      </c>
      <c r="M239" s="4">
        <v>227.773</v>
      </c>
      <c r="N239" s="4">
        <v>227.773</v>
      </c>
      <c r="O239" s="4">
        <v>227.773</v>
      </c>
      <c r="P239" s="4">
        <v>1141</v>
      </c>
      <c r="Q239" s="3" t="s">
        <v>26</v>
      </c>
      <c r="R239" s="3">
        <v>0</v>
      </c>
      <c r="S239" s="4">
        <v>0</v>
      </c>
      <c r="T239" s="4">
        <v>34</v>
      </c>
      <c r="U239" s="4">
        <v>52</v>
      </c>
      <c r="V239" s="4">
        <f>IF(ISERROR(VLOOKUP($S$239,'TAR FIN'!$A$1:$O$88,15,0)),0,VLOOKUP($S$239,'TAR FIN'!$A$1:$O$88,15,0))</f>
        <v>0</v>
      </c>
      <c r="W239" s="4">
        <f>IF(ISERROR(VLOOKUP($T$239,'TAR FIN'!$A$1:$O$88,15,0)),0,VLOOKUP($T$239,'TAR FIN'!$A$1:$O$88,15,0))</f>
        <v>418.93</v>
      </c>
      <c r="X239" s="4">
        <f>IF(ISERROR(VLOOKUP($U$239,'TAR FIN'!$A$1:$O$88,15,0)),0,VLOOKUP($U$239,'TAR FIN'!$A$1:$O$88,15,0))</f>
        <v>145.38</v>
      </c>
      <c r="Y239" s="4"/>
      <c r="Z239" s="4">
        <f ca="1">('TUSD BE'!$AM$33+'TUSD BF'!$AM$33+'TUSD CVA'!$AM$33)*(1-CUSTOS!$M$38)</f>
        <v>497.93087316633921</v>
      </c>
      <c r="AA239" s="4">
        <f>('TE BE'!$AB$23+'TE BF'!$AB$23+'TE CVA'!$AB$23)*(1-CUSTOS!$M$38)</f>
        <v>144.71996911415522</v>
      </c>
      <c r="AB239" s="4">
        <f>$K$239*$V$239</f>
        <v>0</v>
      </c>
      <c r="AC239" s="4">
        <f>$M$239*$W$239</f>
        <v>95420.942890000006</v>
      </c>
      <c r="AD239" s="4">
        <f>$O$239*$X$239</f>
        <v>33113.638739999995</v>
      </c>
      <c r="AE239" s="4">
        <f>$K$239*$Y$239</f>
        <v>0</v>
      </c>
      <c r="AF239" s="4">
        <f ca="1">$M$239*$Z$239</f>
        <v>113415.20877371659</v>
      </c>
      <c r="AG239" s="4">
        <f>$O$239*$AA$239</f>
        <v>32963.301525038478</v>
      </c>
    </row>
    <row r="240" spans="1:33" ht="11.25" customHeight="1" x14ac:dyDescent="0.25">
      <c r="A240" s="3" t="s">
        <v>27</v>
      </c>
      <c r="B240" s="3" t="s">
        <v>40</v>
      </c>
      <c r="C240" s="3" t="s">
        <v>23</v>
      </c>
      <c r="D240" s="3" t="s">
        <v>41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44682</v>
      </c>
      <c r="J240" s="4">
        <v>0</v>
      </c>
      <c r="K240" s="4">
        <v>0</v>
      </c>
      <c r="L240" s="4">
        <v>-2.93</v>
      </c>
      <c r="M240" s="4">
        <v>-2.93</v>
      </c>
      <c r="N240" s="4">
        <v>-2.93</v>
      </c>
      <c r="O240" s="4">
        <v>-2.93</v>
      </c>
      <c r="P240" s="4">
        <v>0</v>
      </c>
      <c r="Q240" s="3" t="s">
        <v>26</v>
      </c>
      <c r="R240" s="3">
        <v>0</v>
      </c>
      <c r="S240" s="4">
        <v>0</v>
      </c>
      <c r="T240" s="4">
        <v>34</v>
      </c>
      <c r="U240" s="4">
        <v>52</v>
      </c>
      <c r="V240" s="4">
        <f>IF(ISERROR(VLOOKUP($S$240,'TAR FIN'!$A$1:$O$88,15,0)),0,VLOOKUP($S$240,'TAR FIN'!$A$1:$O$88,15,0))</f>
        <v>0</v>
      </c>
      <c r="W240" s="4">
        <f>IF(ISERROR(VLOOKUP($T$240,'TAR FIN'!$A$1:$O$88,15,0)),0,VLOOKUP($T$240,'TAR FIN'!$A$1:$O$88,15,0))</f>
        <v>418.93</v>
      </c>
      <c r="X240" s="4">
        <f>IF(ISERROR(VLOOKUP($U$240,'TAR FIN'!$A$1:$O$88,15,0)),0,VLOOKUP($U$240,'TAR FIN'!$A$1:$O$88,15,0))</f>
        <v>145.38</v>
      </c>
      <c r="Y240" s="4"/>
      <c r="Z240" s="4">
        <f ca="1">('TUSD BE'!$AM$33+'TUSD BF'!$AM$33+'TUSD CVA'!$AM$33)*(1-CUSTOS!$M$38)</f>
        <v>497.93087316633921</v>
      </c>
      <c r="AA240" s="4">
        <f>('TE BE'!$AB$23+'TE BF'!$AB$23+'TE CVA'!$AB$23)*(1-CUSTOS!$M$38)</f>
        <v>144.71996911415522</v>
      </c>
      <c r="AB240" s="4">
        <f>$K$240*$V$240</f>
        <v>0</v>
      </c>
      <c r="AC240" s="4">
        <f>$M$240*$W$240</f>
        <v>-1227.4649000000002</v>
      </c>
      <c r="AD240" s="4">
        <f>$O$240*$X$240</f>
        <v>-425.96340000000004</v>
      </c>
      <c r="AE240" s="4">
        <f>$K$240*$Y$240</f>
        <v>0</v>
      </c>
      <c r="AF240" s="4">
        <f ca="1">$M$240*$Z$240</f>
        <v>-1458.937458377374</v>
      </c>
      <c r="AG240" s="4">
        <f>$O$240*$AA$240</f>
        <v>-424.02950950447479</v>
      </c>
    </row>
    <row r="241" spans="1:33" ht="11.25" customHeight="1" x14ac:dyDescent="0.25">
      <c r="A241" s="3" t="s">
        <v>28</v>
      </c>
      <c r="B241" s="3" t="s">
        <v>40</v>
      </c>
      <c r="C241" s="3" t="s">
        <v>23</v>
      </c>
      <c r="D241" s="3" t="s">
        <v>41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44682</v>
      </c>
      <c r="J241" s="4">
        <v>0</v>
      </c>
      <c r="K241" s="4">
        <v>0</v>
      </c>
      <c r="L241" s="4">
        <v>12.616</v>
      </c>
      <c r="M241" s="4">
        <v>12.616</v>
      </c>
      <c r="N241" s="4">
        <v>12.616</v>
      </c>
      <c r="O241" s="4">
        <v>12.616</v>
      </c>
      <c r="P241" s="4">
        <v>20</v>
      </c>
      <c r="Q241" s="3" t="s">
        <v>26</v>
      </c>
      <c r="R241" s="3">
        <v>0</v>
      </c>
      <c r="S241" s="4">
        <v>0</v>
      </c>
      <c r="T241" s="4">
        <v>34</v>
      </c>
      <c r="U241" s="4">
        <v>52</v>
      </c>
      <c r="V241" s="4">
        <f>IF(ISERROR(VLOOKUP($S$241,'TAR FIN'!$A$1:$O$88,15,0)),0,VLOOKUP($S$241,'TAR FIN'!$A$1:$O$88,15,0))</f>
        <v>0</v>
      </c>
      <c r="W241" s="4">
        <f>IF(ISERROR(VLOOKUP($T$241,'TAR FIN'!$A$1:$O$88,15,0)),0,VLOOKUP($T$241,'TAR FIN'!$A$1:$O$88,15,0))</f>
        <v>418.93</v>
      </c>
      <c r="X241" s="4">
        <f>IF(ISERROR(VLOOKUP($U$241,'TAR FIN'!$A$1:$O$88,15,0)),0,VLOOKUP($U$241,'TAR FIN'!$A$1:$O$88,15,0))</f>
        <v>145.38</v>
      </c>
      <c r="Y241" s="4"/>
      <c r="Z241" s="4">
        <f ca="1">('TUSD BE'!$AM$33+'TUSD BF'!$AM$33+'TUSD CVA'!$AM$33)*(1-CUSTOS!$M$38)</f>
        <v>497.93087316633921</v>
      </c>
      <c r="AA241" s="4">
        <f>('TE BE'!$AB$23+'TE BF'!$AB$23+'TE CVA'!$AB$23)*(1-CUSTOS!$M$38)</f>
        <v>144.71996911415522</v>
      </c>
      <c r="AB241" s="4">
        <f>$K$241*$V$241</f>
        <v>0</v>
      </c>
      <c r="AC241" s="4">
        <f>$M$241*$W$241</f>
        <v>5285.2208799999999</v>
      </c>
      <c r="AD241" s="4">
        <f>$O$241*$X$241</f>
        <v>1834.1140799999998</v>
      </c>
      <c r="AE241" s="4">
        <f>$K$241*$Y$241</f>
        <v>0</v>
      </c>
      <c r="AF241" s="4">
        <f ca="1">$M$241*$Z$241</f>
        <v>6281.8958958665353</v>
      </c>
      <c r="AG241" s="4">
        <f>$O$241*$AA$241</f>
        <v>1825.7871303441823</v>
      </c>
    </row>
    <row r="242" spans="1:33" ht="11.25" customHeight="1" x14ac:dyDescent="0.25">
      <c r="A242" s="3" t="s">
        <v>21</v>
      </c>
      <c r="B242" s="3" t="s">
        <v>40</v>
      </c>
      <c r="C242" s="3" t="s">
        <v>23</v>
      </c>
      <c r="D242" s="3" t="s">
        <v>41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44713</v>
      </c>
      <c r="J242" s="4">
        <v>0</v>
      </c>
      <c r="K242" s="4">
        <v>0</v>
      </c>
      <c r="L242" s="4">
        <v>249.512</v>
      </c>
      <c r="M242" s="4">
        <v>249.512</v>
      </c>
      <c r="N242" s="4">
        <v>249.512</v>
      </c>
      <c r="O242" s="4">
        <v>249.512</v>
      </c>
      <c r="P242" s="4">
        <v>1141</v>
      </c>
      <c r="Q242" s="3" t="s">
        <v>26</v>
      </c>
      <c r="R242" s="3">
        <v>0</v>
      </c>
      <c r="S242" s="4">
        <v>0</v>
      </c>
      <c r="T242" s="4">
        <v>34</v>
      </c>
      <c r="U242" s="4">
        <v>52</v>
      </c>
      <c r="V242" s="4">
        <f>IF(ISERROR(VLOOKUP($S$242,'TAR FIN'!$A$1:$O$88,15,0)),0,VLOOKUP($S$242,'TAR FIN'!$A$1:$O$88,15,0))</f>
        <v>0</v>
      </c>
      <c r="W242" s="4">
        <f>IF(ISERROR(VLOOKUP($T$242,'TAR FIN'!$A$1:$O$88,15,0)),0,VLOOKUP($T$242,'TAR FIN'!$A$1:$O$88,15,0))</f>
        <v>418.93</v>
      </c>
      <c r="X242" s="4">
        <f>IF(ISERROR(VLOOKUP($U$242,'TAR FIN'!$A$1:$O$88,15,0)),0,VLOOKUP($U$242,'TAR FIN'!$A$1:$O$88,15,0))</f>
        <v>145.38</v>
      </c>
      <c r="Y242" s="4"/>
      <c r="Z242" s="4">
        <f ca="1">('TUSD BE'!$AM$33+'TUSD BF'!$AM$33+'TUSD CVA'!$AM$33)*(1-CUSTOS!$M$38)</f>
        <v>497.93087316633921</v>
      </c>
      <c r="AA242" s="4">
        <f>('TE BE'!$AB$23+'TE BF'!$AB$23+'TE CVA'!$AB$23)*(1-CUSTOS!$M$38)</f>
        <v>144.71996911415522</v>
      </c>
      <c r="AB242" s="4">
        <f>$K$242*$V$242</f>
        <v>0</v>
      </c>
      <c r="AC242" s="4">
        <f>$M$242*$W$242</f>
        <v>104528.06216</v>
      </c>
      <c r="AD242" s="4">
        <f>$O$242*$X$242</f>
        <v>36274.054559999997</v>
      </c>
      <c r="AE242" s="4">
        <f>$K$242*$Y$242</f>
        <v>0</v>
      </c>
      <c r="AF242" s="4">
        <f ca="1">$M$242*$Z$242</f>
        <v>124239.72802547964</v>
      </c>
      <c r="AG242" s="4">
        <f>$O$242*$AA$242</f>
        <v>36109.368933611098</v>
      </c>
    </row>
    <row r="243" spans="1:33" ht="11.25" customHeight="1" x14ac:dyDescent="0.25">
      <c r="A243" s="3" t="s">
        <v>28</v>
      </c>
      <c r="B243" s="3" t="s">
        <v>40</v>
      </c>
      <c r="C243" s="3" t="s">
        <v>23</v>
      </c>
      <c r="D243" s="3" t="s">
        <v>41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44713</v>
      </c>
      <c r="J243" s="4">
        <v>0</v>
      </c>
      <c r="K243" s="4">
        <v>0</v>
      </c>
      <c r="L243" s="4">
        <v>25.966000000000001</v>
      </c>
      <c r="M243" s="4">
        <v>25.966000000000001</v>
      </c>
      <c r="N243" s="4">
        <v>25.966000000000001</v>
      </c>
      <c r="O243" s="4">
        <v>25.966000000000001</v>
      </c>
      <c r="P243" s="4">
        <v>22</v>
      </c>
      <c r="Q243" s="3" t="s">
        <v>26</v>
      </c>
      <c r="R243" s="3">
        <v>0</v>
      </c>
      <c r="S243" s="4">
        <v>0</v>
      </c>
      <c r="T243" s="4">
        <v>34</v>
      </c>
      <c r="U243" s="4">
        <v>52</v>
      </c>
      <c r="V243" s="4">
        <f>IF(ISERROR(VLOOKUP($S$243,'TAR FIN'!$A$1:$O$88,15,0)),0,VLOOKUP($S$243,'TAR FIN'!$A$1:$O$88,15,0))</f>
        <v>0</v>
      </c>
      <c r="W243" s="4">
        <f>IF(ISERROR(VLOOKUP($T$243,'TAR FIN'!$A$1:$O$88,15,0)),0,VLOOKUP($T$243,'TAR FIN'!$A$1:$O$88,15,0))</f>
        <v>418.93</v>
      </c>
      <c r="X243" s="4">
        <f>IF(ISERROR(VLOOKUP($U$243,'TAR FIN'!$A$1:$O$88,15,0)),0,VLOOKUP($U$243,'TAR FIN'!$A$1:$O$88,15,0))</f>
        <v>145.38</v>
      </c>
      <c r="Y243" s="4"/>
      <c r="Z243" s="4">
        <f ca="1">('TUSD BE'!$AM$33+'TUSD BF'!$AM$33+'TUSD CVA'!$AM$33)*(1-CUSTOS!$M$38)</f>
        <v>497.93087316633921</v>
      </c>
      <c r="AA243" s="4">
        <f>('TE BE'!$AB$23+'TE BF'!$AB$23+'TE CVA'!$AB$23)*(1-CUSTOS!$M$38)</f>
        <v>144.71996911415522</v>
      </c>
      <c r="AB243" s="4">
        <f>$K$243*$V$243</f>
        <v>0</v>
      </c>
      <c r="AC243" s="4">
        <f>$M$243*$W$243</f>
        <v>10877.936380000001</v>
      </c>
      <c r="AD243" s="4">
        <f>$O$243*$X$243</f>
        <v>3774.9370800000002</v>
      </c>
      <c r="AE243" s="4">
        <f>$K$243*$Y$243</f>
        <v>0</v>
      </c>
      <c r="AF243" s="4">
        <f ca="1">$M$243*$Z$243</f>
        <v>12929.273052637165</v>
      </c>
      <c r="AG243" s="4">
        <f>$O$243*$AA$243</f>
        <v>3757.7987180181544</v>
      </c>
    </row>
    <row r="244" spans="1:33" ht="11.25" customHeight="1" x14ac:dyDescent="0.25">
      <c r="A244" s="3" t="s">
        <v>21</v>
      </c>
      <c r="B244" s="3" t="s">
        <v>40</v>
      </c>
      <c r="C244" s="3" t="s">
        <v>23</v>
      </c>
      <c r="D244" s="3" t="s">
        <v>41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44743</v>
      </c>
      <c r="J244" s="4">
        <v>0</v>
      </c>
      <c r="K244" s="4">
        <v>0</v>
      </c>
      <c r="L244" s="4">
        <v>213.47</v>
      </c>
      <c r="M244" s="4">
        <v>213.47</v>
      </c>
      <c r="N244" s="4">
        <v>213.47</v>
      </c>
      <c r="O244" s="4">
        <v>213.47</v>
      </c>
      <c r="P244" s="4">
        <v>1135</v>
      </c>
      <c r="Q244" s="3" t="s">
        <v>26</v>
      </c>
      <c r="R244" s="3">
        <v>0</v>
      </c>
      <c r="S244" s="4">
        <v>0</v>
      </c>
      <c r="T244" s="4">
        <v>34</v>
      </c>
      <c r="U244" s="4">
        <v>52</v>
      </c>
      <c r="V244" s="4">
        <f>IF(ISERROR(VLOOKUP($S$244,'TAR FIN'!$A$1:$O$88,15,0)),0,VLOOKUP($S$244,'TAR FIN'!$A$1:$O$88,15,0))</f>
        <v>0</v>
      </c>
      <c r="W244" s="4">
        <f>IF(ISERROR(VLOOKUP($T$244,'TAR FIN'!$A$1:$O$88,15,0)),0,VLOOKUP($T$244,'TAR FIN'!$A$1:$O$88,15,0))</f>
        <v>418.93</v>
      </c>
      <c r="X244" s="4">
        <f>IF(ISERROR(VLOOKUP($U$244,'TAR FIN'!$A$1:$O$88,15,0)),0,VLOOKUP($U$244,'TAR FIN'!$A$1:$O$88,15,0))</f>
        <v>145.38</v>
      </c>
      <c r="Y244" s="4"/>
      <c r="Z244" s="4">
        <f ca="1">('TUSD BE'!$AM$33+'TUSD BF'!$AM$33+'TUSD CVA'!$AM$33)*(1-CUSTOS!$M$38)</f>
        <v>497.93087316633921</v>
      </c>
      <c r="AA244" s="4">
        <f>('TE BE'!$AB$23+'TE BF'!$AB$23+'TE CVA'!$AB$23)*(1-CUSTOS!$M$38)</f>
        <v>144.71996911415522</v>
      </c>
      <c r="AB244" s="4">
        <f>$K$244*$V$244</f>
        <v>0</v>
      </c>
      <c r="AC244" s="4">
        <f>$M$244*$W$244</f>
        <v>89428.987099999998</v>
      </c>
      <c r="AD244" s="4">
        <f>$O$244*$X$244</f>
        <v>31034.268599999999</v>
      </c>
      <c r="AE244" s="4">
        <f>$K$244*$Y$244</f>
        <v>0</v>
      </c>
      <c r="AF244" s="4">
        <f ca="1">$M$244*$Z$244</f>
        <v>106293.30349481844</v>
      </c>
      <c r="AG244" s="4">
        <f>$O$244*$AA$244</f>
        <v>30893.371806798714</v>
      </c>
    </row>
    <row r="245" spans="1:33" ht="11.25" customHeight="1" x14ac:dyDescent="0.25">
      <c r="A245" s="3" t="s">
        <v>28</v>
      </c>
      <c r="B245" s="3" t="s">
        <v>40</v>
      </c>
      <c r="C245" s="3" t="s">
        <v>23</v>
      </c>
      <c r="D245" s="3" t="s">
        <v>41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44743</v>
      </c>
      <c r="J245" s="4">
        <v>0</v>
      </c>
      <c r="K245" s="4">
        <v>0</v>
      </c>
      <c r="L245" s="4">
        <v>16.984000000000002</v>
      </c>
      <c r="M245" s="4">
        <v>16.984000000000002</v>
      </c>
      <c r="N245" s="4">
        <v>16.984000000000002</v>
      </c>
      <c r="O245" s="4">
        <v>16.984000000000002</v>
      </c>
      <c r="P245" s="4">
        <v>20</v>
      </c>
      <c r="Q245" s="3" t="s">
        <v>26</v>
      </c>
      <c r="R245" s="3">
        <v>0</v>
      </c>
      <c r="S245" s="4">
        <v>0</v>
      </c>
      <c r="T245" s="4">
        <v>34</v>
      </c>
      <c r="U245" s="4">
        <v>52</v>
      </c>
      <c r="V245" s="4">
        <f>IF(ISERROR(VLOOKUP($S$245,'TAR FIN'!$A$1:$O$88,15,0)),0,VLOOKUP($S$245,'TAR FIN'!$A$1:$O$88,15,0))</f>
        <v>0</v>
      </c>
      <c r="W245" s="4">
        <f>IF(ISERROR(VLOOKUP($T$245,'TAR FIN'!$A$1:$O$88,15,0)),0,VLOOKUP($T$245,'TAR FIN'!$A$1:$O$88,15,0))</f>
        <v>418.93</v>
      </c>
      <c r="X245" s="4">
        <f>IF(ISERROR(VLOOKUP($U$245,'TAR FIN'!$A$1:$O$88,15,0)),0,VLOOKUP($U$245,'TAR FIN'!$A$1:$O$88,15,0))</f>
        <v>145.38</v>
      </c>
      <c r="Y245" s="4"/>
      <c r="Z245" s="4">
        <f ca="1">('TUSD BE'!$AM$33+'TUSD BF'!$AM$33+'TUSD CVA'!$AM$33)*(1-CUSTOS!$M$38)</f>
        <v>497.93087316633921</v>
      </c>
      <c r="AA245" s="4">
        <f>('TE BE'!$AB$23+'TE BF'!$AB$23+'TE CVA'!$AB$23)*(1-CUSTOS!$M$38)</f>
        <v>144.71996911415522</v>
      </c>
      <c r="AB245" s="4">
        <f>$K$245*$V$245</f>
        <v>0</v>
      </c>
      <c r="AC245" s="4">
        <f>$M$245*$W$245</f>
        <v>7115.1071200000006</v>
      </c>
      <c r="AD245" s="4">
        <f>$O$245*$X$245</f>
        <v>2469.1339200000002</v>
      </c>
      <c r="AE245" s="4">
        <f>$K$245*$Y$245</f>
        <v>0</v>
      </c>
      <c r="AF245" s="4">
        <f ca="1">$M$245*$Z$245</f>
        <v>8456.8579498571053</v>
      </c>
      <c r="AG245" s="4">
        <f>$O$245*$AA$245</f>
        <v>2457.9239554348123</v>
      </c>
    </row>
    <row r="246" spans="1:33" ht="11.25" customHeight="1" x14ac:dyDescent="0.25">
      <c r="A246" s="3" t="s">
        <v>21</v>
      </c>
      <c r="B246" s="3" t="s">
        <v>40</v>
      </c>
      <c r="C246" s="3" t="s">
        <v>23</v>
      </c>
      <c r="D246" s="3" t="s">
        <v>41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44774</v>
      </c>
      <c r="J246" s="4">
        <v>0</v>
      </c>
      <c r="K246" s="4">
        <v>0</v>
      </c>
      <c r="L246" s="4">
        <v>236.98099999999999</v>
      </c>
      <c r="M246" s="4">
        <v>236.98099999999999</v>
      </c>
      <c r="N246" s="4">
        <v>236.98099999999999</v>
      </c>
      <c r="O246" s="4">
        <v>236.98099999999999</v>
      </c>
      <c r="P246" s="4">
        <v>1125</v>
      </c>
      <c r="Q246" s="3" t="s">
        <v>26</v>
      </c>
      <c r="R246" s="3">
        <v>0</v>
      </c>
      <c r="S246" s="4">
        <v>0</v>
      </c>
      <c r="T246" s="4">
        <v>34</v>
      </c>
      <c r="U246" s="4">
        <v>52</v>
      </c>
      <c r="V246" s="4">
        <f>IF(ISERROR(VLOOKUP($S$246,'TAR FIN'!$A$1:$O$88,15,0)),0,VLOOKUP($S$246,'TAR FIN'!$A$1:$O$88,15,0))</f>
        <v>0</v>
      </c>
      <c r="W246" s="4">
        <f>IF(ISERROR(VLOOKUP($T$246,'TAR FIN'!$A$1:$O$88,15,0)),0,VLOOKUP($T$246,'TAR FIN'!$A$1:$O$88,15,0))</f>
        <v>418.93</v>
      </c>
      <c r="X246" s="4">
        <f>IF(ISERROR(VLOOKUP($U$246,'TAR FIN'!$A$1:$O$88,15,0)),0,VLOOKUP($U$246,'TAR FIN'!$A$1:$O$88,15,0))</f>
        <v>145.38</v>
      </c>
      <c r="Y246" s="4"/>
      <c r="Z246" s="4">
        <f ca="1">('TUSD BE'!$AM$33+'TUSD BF'!$AM$33+'TUSD CVA'!$AM$33)*(1-CUSTOS!$M$38)</f>
        <v>497.93087316633921</v>
      </c>
      <c r="AA246" s="4">
        <f>('TE BE'!$AB$23+'TE BF'!$AB$23+'TE CVA'!$AB$23)*(1-CUSTOS!$M$38)</f>
        <v>144.71996911415522</v>
      </c>
      <c r="AB246" s="4">
        <f>$K$246*$V$246</f>
        <v>0</v>
      </c>
      <c r="AC246" s="4">
        <f>$M$246*$W$246</f>
        <v>99278.450329999992</v>
      </c>
      <c r="AD246" s="4">
        <f>$O$246*$X$246</f>
        <v>34452.297780000001</v>
      </c>
      <c r="AE246" s="4">
        <f>$K$246*$Y$246</f>
        <v>0</v>
      </c>
      <c r="AF246" s="4">
        <f ca="1">$M$246*$Z$246</f>
        <v>118000.15625383223</v>
      </c>
      <c r="AG246" s="4">
        <f>$O$246*$AA$246</f>
        <v>34295.883000641617</v>
      </c>
    </row>
    <row r="247" spans="1:33" ht="11.25" customHeight="1" x14ac:dyDescent="0.25">
      <c r="A247" s="3" t="s">
        <v>28</v>
      </c>
      <c r="B247" s="3" t="s">
        <v>40</v>
      </c>
      <c r="C247" s="3" t="s">
        <v>23</v>
      </c>
      <c r="D247" s="3" t="s">
        <v>41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44774</v>
      </c>
      <c r="J247" s="4">
        <v>0</v>
      </c>
      <c r="K247" s="4">
        <v>0</v>
      </c>
      <c r="L247" s="4">
        <v>15.641999999999999</v>
      </c>
      <c r="M247" s="4">
        <v>15.641999999999999</v>
      </c>
      <c r="N247" s="4">
        <v>15.641999999999999</v>
      </c>
      <c r="O247" s="4">
        <v>15.641999999999999</v>
      </c>
      <c r="P247" s="4">
        <v>21</v>
      </c>
      <c r="Q247" s="3" t="s">
        <v>26</v>
      </c>
      <c r="R247" s="3">
        <v>0</v>
      </c>
      <c r="S247" s="4">
        <v>0</v>
      </c>
      <c r="T247" s="4">
        <v>34</v>
      </c>
      <c r="U247" s="4">
        <v>52</v>
      </c>
      <c r="V247" s="4">
        <f>IF(ISERROR(VLOOKUP($S$247,'TAR FIN'!$A$1:$O$88,15,0)),0,VLOOKUP($S$247,'TAR FIN'!$A$1:$O$88,15,0))</f>
        <v>0</v>
      </c>
      <c r="W247" s="4">
        <f>IF(ISERROR(VLOOKUP($T$247,'TAR FIN'!$A$1:$O$88,15,0)),0,VLOOKUP($T$247,'TAR FIN'!$A$1:$O$88,15,0))</f>
        <v>418.93</v>
      </c>
      <c r="X247" s="4">
        <f>IF(ISERROR(VLOOKUP($U$247,'TAR FIN'!$A$1:$O$88,15,0)),0,VLOOKUP($U$247,'TAR FIN'!$A$1:$O$88,15,0))</f>
        <v>145.38</v>
      </c>
      <c r="Y247" s="4"/>
      <c r="Z247" s="4">
        <f ca="1">('TUSD BE'!$AM$33+'TUSD BF'!$AM$33+'TUSD CVA'!$AM$33)*(1-CUSTOS!$M$38)</f>
        <v>497.93087316633921</v>
      </c>
      <c r="AA247" s="4">
        <f>('TE BE'!$AB$23+'TE BF'!$AB$23+'TE CVA'!$AB$23)*(1-CUSTOS!$M$38)</f>
        <v>144.71996911415522</v>
      </c>
      <c r="AB247" s="4">
        <f>$K$247*$V$247</f>
        <v>0</v>
      </c>
      <c r="AC247" s="4">
        <f>$M$247*$W$247</f>
        <v>6552.9030599999996</v>
      </c>
      <c r="AD247" s="4">
        <f>$O$247*$X$247</f>
        <v>2274.0339599999998</v>
      </c>
      <c r="AE247" s="4">
        <f>$K$247*$Y$247</f>
        <v>0</v>
      </c>
      <c r="AF247" s="4">
        <f ca="1">$M$247*$Z$247</f>
        <v>7788.6347180678777</v>
      </c>
      <c r="AG247" s="4">
        <f>$O$247*$AA$247</f>
        <v>2263.7097568836157</v>
      </c>
    </row>
    <row r="248" spans="1:33" ht="11.25" customHeight="1" x14ac:dyDescent="0.25">
      <c r="A248" s="3" t="s">
        <v>21</v>
      </c>
      <c r="B248" s="3" t="s">
        <v>33</v>
      </c>
      <c r="C248" s="3" t="s">
        <v>23</v>
      </c>
      <c r="D248" s="3" t="s">
        <v>39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44440</v>
      </c>
      <c r="J248" s="4">
        <v>0</v>
      </c>
      <c r="K248" s="4">
        <v>0</v>
      </c>
      <c r="L248" s="4">
        <v>218.88900000000001</v>
      </c>
      <c r="M248" s="4">
        <v>218.88900000000001</v>
      </c>
      <c r="N248" s="4">
        <v>218.88900000000001</v>
      </c>
      <c r="O248" s="4">
        <v>218.88900000000001</v>
      </c>
      <c r="P248" s="4">
        <v>519</v>
      </c>
      <c r="Q248" s="3" t="s">
        <v>26</v>
      </c>
      <c r="R248" s="3">
        <v>0</v>
      </c>
      <c r="S248" s="4">
        <v>0</v>
      </c>
      <c r="T248" s="4">
        <v>50</v>
      </c>
      <c r="U248" s="4">
        <v>83</v>
      </c>
      <c r="V248" s="4">
        <f>IF(ISERROR(VLOOKUP($S$248,'TAR FIN'!$A$1:$O$88,15,0)),0,VLOOKUP($S$248,'TAR FIN'!$A$1:$O$88,15,0))</f>
        <v>0</v>
      </c>
      <c r="W248" s="4">
        <f>IF(ISERROR(VLOOKUP($T$248,'TAR FIN'!$A$1:$O$88,15,0)),0,VLOOKUP($T$248,'TAR FIN'!$A$1:$O$88,15,0))</f>
        <v>476.06</v>
      </c>
      <c r="X248" s="4">
        <f>IF(ISERROR(VLOOKUP($U$248,'TAR FIN'!$A$1:$O$88,15,0)),0,VLOOKUP($U$248,'TAR FIN'!$A$1:$O$88,15,0))</f>
        <v>165.21</v>
      </c>
      <c r="Y248" s="4"/>
      <c r="Z248" s="4">
        <f ca="1">('TUSD BE'!$AM$48+'TUSD BF'!$AM$48+'TUSD CVA'!$AM$48)*1</f>
        <v>529.7136948578077</v>
      </c>
      <c r="AA248" s="4">
        <f>('TE BE'!$AB$38+'TE BF'!$AB$38+'TE CVA'!$AB$38)*1</f>
        <v>153.95741395122897</v>
      </c>
      <c r="AB248" s="4">
        <f>$K$248*$V$248</f>
        <v>0</v>
      </c>
      <c r="AC248" s="4">
        <f>$M$248*$W$248</f>
        <v>104204.29734</v>
      </c>
      <c r="AD248" s="4">
        <f>$O$248*$X$248</f>
        <v>36162.651690000006</v>
      </c>
      <c r="AE248" s="4">
        <f>$K$248*$Y$248</f>
        <v>0</v>
      </c>
      <c r="AF248" s="4">
        <f ca="1">$M$248*$Z$248</f>
        <v>115948.50095373068</v>
      </c>
      <c r="AG248" s="4">
        <f>$O$248*$AA$248</f>
        <v>33699.584382370558</v>
      </c>
    </row>
    <row r="249" spans="1:33" ht="11.25" customHeight="1" x14ac:dyDescent="0.25">
      <c r="A249" s="3" t="s">
        <v>28</v>
      </c>
      <c r="B249" s="3" t="s">
        <v>33</v>
      </c>
      <c r="C249" s="3" t="s">
        <v>23</v>
      </c>
      <c r="D249" s="3" t="s">
        <v>39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44440</v>
      </c>
      <c r="J249" s="4">
        <v>0</v>
      </c>
      <c r="K249" s="4">
        <v>0</v>
      </c>
      <c r="L249" s="4">
        <v>9.6929999999999996</v>
      </c>
      <c r="M249" s="4">
        <v>9.6929999999999996</v>
      </c>
      <c r="N249" s="4">
        <v>9.6929999999999996</v>
      </c>
      <c r="O249" s="4">
        <v>9.6929999999999996</v>
      </c>
      <c r="P249" s="4">
        <v>33</v>
      </c>
      <c r="Q249" s="3" t="s">
        <v>26</v>
      </c>
      <c r="R249" s="3">
        <v>0</v>
      </c>
      <c r="S249" s="4">
        <v>0</v>
      </c>
      <c r="T249" s="4">
        <v>50</v>
      </c>
      <c r="U249" s="4">
        <v>83</v>
      </c>
      <c r="V249" s="4">
        <f>IF(ISERROR(VLOOKUP($S$249,'TAR FIN'!$A$1:$O$88,15,0)),0,VLOOKUP($S$249,'TAR FIN'!$A$1:$O$88,15,0))</f>
        <v>0</v>
      </c>
      <c r="W249" s="4">
        <f>IF(ISERROR(VLOOKUP($T$249,'TAR FIN'!$A$1:$O$88,15,0)),0,VLOOKUP($T$249,'TAR FIN'!$A$1:$O$88,15,0))</f>
        <v>476.06</v>
      </c>
      <c r="X249" s="4">
        <f>IF(ISERROR(VLOOKUP($U$249,'TAR FIN'!$A$1:$O$88,15,0)),0,VLOOKUP($U$249,'TAR FIN'!$A$1:$O$88,15,0))</f>
        <v>165.21</v>
      </c>
      <c r="Y249" s="4"/>
      <c r="Z249" s="4">
        <f ca="1">('TUSD BE'!$AM$48+'TUSD BF'!$AM$48+'TUSD CVA'!$AM$48)*1</f>
        <v>529.7136948578077</v>
      </c>
      <c r="AA249" s="4">
        <f>('TE BE'!$AB$38+'TE BF'!$AB$38+'TE CVA'!$AB$38)*1</f>
        <v>153.95741395122897</v>
      </c>
      <c r="AB249" s="4">
        <f>$K$249*$V$249</f>
        <v>0</v>
      </c>
      <c r="AC249" s="4">
        <f>$M$249*$W$249</f>
        <v>4614.4495799999995</v>
      </c>
      <c r="AD249" s="4">
        <f>$O$249*$X$249</f>
        <v>1601.3805299999999</v>
      </c>
      <c r="AE249" s="4">
        <f>$K$249*$Y$249</f>
        <v>0</v>
      </c>
      <c r="AF249" s="4">
        <f ca="1">$M$249*$Z$249</f>
        <v>5134.5148442567297</v>
      </c>
      <c r="AG249" s="4">
        <f>$O$249*$AA$249</f>
        <v>1492.3092134292624</v>
      </c>
    </row>
    <row r="250" spans="1:33" ht="11.25" customHeight="1" x14ac:dyDescent="0.25">
      <c r="A250" s="3" t="s">
        <v>21</v>
      </c>
      <c r="B250" s="3" t="s">
        <v>33</v>
      </c>
      <c r="C250" s="3" t="s">
        <v>23</v>
      </c>
      <c r="D250" s="3" t="s">
        <v>39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44470</v>
      </c>
      <c r="J250" s="4">
        <v>0</v>
      </c>
      <c r="K250" s="4">
        <v>0</v>
      </c>
      <c r="L250" s="4">
        <v>191.14500000000001</v>
      </c>
      <c r="M250" s="4">
        <v>191.14500000000001</v>
      </c>
      <c r="N250" s="4">
        <v>191.14500000000001</v>
      </c>
      <c r="O250" s="4">
        <v>191.14500000000001</v>
      </c>
      <c r="P250" s="4">
        <v>518</v>
      </c>
      <c r="Q250" s="3" t="s">
        <v>26</v>
      </c>
      <c r="R250" s="3">
        <v>0</v>
      </c>
      <c r="S250" s="4">
        <v>0</v>
      </c>
      <c r="T250" s="4">
        <v>50</v>
      </c>
      <c r="U250" s="4">
        <v>83</v>
      </c>
      <c r="V250" s="4">
        <f>IF(ISERROR(VLOOKUP($S$250,'TAR FIN'!$A$1:$O$88,15,0)),0,VLOOKUP($S$250,'TAR FIN'!$A$1:$O$88,15,0))</f>
        <v>0</v>
      </c>
      <c r="W250" s="4">
        <f>IF(ISERROR(VLOOKUP($T$250,'TAR FIN'!$A$1:$O$88,15,0)),0,VLOOKUP($T$250,'TAR FIN'!$A$1:$O$88,15,0))</f>
        <v>476.06</v>
      </c>
      <c r="X250" s="4">
        <f>IF(ISERROR(VLOOKUP($U$250,'TAR FIN'!$A$1:$O$88,15,0)),0,VLOOKUP($U$250,'TAR FIN'!$A$1:$O$88,15,0))</f>
        <v>165.21</v>
      </c>
      <c r="Y250" s="4"/>
      <c r="Z250" s="4">
        <f ca="1">('TUSD BE'!$AM$48+'TUSD BF'!$AM$48+'TUSD CVA'!$AM$48)*1</f>
        <v>529.7136948578077</v>
      </c>
      <c r="AA250" s="4">
        <f>('TE BE'!$AB$38+'TE BF'!$AB$38+'TE CVA'!$AB$38)*1</f>
        <v>153.95741395122897</v>
      </c>
      <c r="AB250" s="4">
        <f>$K$250*$V$250</f>
        <v>0</v>
      </c>
      <c r="AC250" s="4">
        <f>$M$250*$W$250</f>
        <v>90996.488700000002</v>
      </c>
      <c r="AD250" s="4">
        <f>$O$250*$X$250</f>
        <v>31579.065450000002</v>
      </c>
      <c r="AE250" s="4">
        <f>$K$250*$Y$250</f>
        <v>0</v>
      </c>
      <c r="AF250" s="4">
        <f ca="1">$M$250*$Z$250</f>
        <v>101252.12420359565</v>
      </c>
      <c r="AG250" s="4">
        <f>$O$250*$AA$250</f>
        <v>29428.189889707664</v>
      </c>
    </row>
    <row r="251" spans="1:33" ht="11.25" customHeight="1" x14ac:dyDescent="0.25">
      <c r="A251" s="3" t="s">
        <v>27</v>
      </c>
      <c r="B251" s="3" t="s">
        <v>33</v>
      </c>
      <c r="C251" s="3" t="s">
        <v>23</v>
      </c>
      <c r="D251" s="3" t="s">
        <v>39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44470</v>
      </c>
      <c r="J251" s="4">
        <v>0</v>
      </c>
      <c r="K251" s="4">
        <v>0</v>
      </c>
      <c r="L251" s="4">
        <v>-0.02</v>
      </c>
      <c r="M251" s="4">
        <v>-0.02</v>
      </c>
      <c r="N251" s="4">
        <v>-0.02</v>
      </c>
      <c r="O251" s="4">
        <v>-0.02</v>
      </c>
      <c r="P251" s="4">
        <v>0</v>
      </c>
      <c r="Q251" s="3" t="s">
        <v>26</v>
      </c>
      <c r="R251" s="3">
        <v>0</v>
      </c>
      <c r="S251" s="4">
        <v>0</v>
      </c>
      <c r="T251" s="4">
        <v>50</v>
      </c>
      <c r="U251" s="4">
        <v>83</v>
      </c>
      <c r="V251" s="4">
        <f>IF(ISERROR(VLOOKUP($S$251,'TAR FIN'!$A$1:$O$88,15,0)),0,VLOOKUP($S$251,'TAR FIN'!$A$1:$O$88,15,0))</f>
        <v>0</v>
      </c>
      <c r="W251" s="4">
        <f>IF(ISERROR(VLOOKUP($T$251,'TAR FIN'!$A$1:$O$88,15,0)),0,VLOOKUP($T$251,'TAR FIN'!$A$1:$O$88,15,0))</f>
        <v>476.06</v>
      </c>
      <c r="X251" s="4">
        <f>IF(ISERROR(VLOOKUP($U$251,'TAR FIN'!$A$1:$O$88,15,0)),0,VLOOKUP($U$251,'TAR FIN'!$A$1:$O$88,15,0))</f>
        <v>165.21</v>
      </c>
      <c r="Y251" s="4"/>
      <c r="Z251" s="4">
        <f ca="1">('TUSD BE'!$AM$48+'TUSD BF'!$AM$48+'TUSD CVA'!$AM$48)*1</f>
        <v>529.7136948578077</v>
      </c>
      <c r="AA251" s="4">
        <f>('TE BE'!$AB$38+'TE BF'!$AB$38+'TE CVA'!$AB$38)*1</f>
        <v>153.95741395122897</v>
      </c>
      <c r="AB251" s="4">
        <f>$K$251*$V$251</f>
        <v>0</v>
      </c>
      <c r="AC251" s="4">
        <f>$M$251*$W$251</f>
        <v>-9.5212000000000003</v>
      </c>
      <c r="AD251" s="4">
        <f>$O$251*$X$251</f>
        <v>-3.3042000000000002</v>
      </c>
      <c r="AE251" s="4">
        <f>$K$251*$Y$251</f>
        <v>0</v>
      </c>
      <c r="AF251" s="4">
        <f ca="1">$M$251*$Z$251</f>
        <v>-10.594273897156155</v>
      </c>
      <c r="AG251" s="4">
        <f>$O$251*$AA$251</f>
        <v>-3.0791482790245794</v>
      </c>
    </row>
    <row r="252" spans="1:33" ht="11.25" customHeight="1" x14ac:dyDescent="0.25">
      <c r="A252" s="3" t="s">
        <v>28</v>
      </c>
      <c r="B252" s="3" t="s">
        <v>33</v>
      </c>
      <c r="C252" s="3" t="s">
        <v>23</v>
      </c>
      <c r="D252" s="3" t="s">
        <v>39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44470</v>
      </c>
      <c r="J252" s="4">
        <v>0</v>
      </c>
      <c r="K252" s="4">
        <v>0</v>
      </c>
      <c r="L252" s="4">
        <v>10.465</v>
      </c>
      <c r="M252" s="4">
        <v>10.465</v>
      </c>
      <c r="N252" s="4">
        <v>10.465</v>
      </c>
      <c r="O252" s="4">
        <v>10.465</v>
      </c>
      <c r="P252" s="4">
        <v>36</v>
      </c>
      <c r="Q252" s="3" t="s">
        <v>26</v>
      </c>
      <c r="R252" s="3">
        <v>0</v>
      </c>
      <c r="S252" s="4">
        <v>0</v>
      </c>
      <c r="T252" s="4">
        <v>50</v>
      </c>
      <c r="U252" s="4">
        <v>83</v>
      </c>
      <c r="V252" s="4">
        <f>IF(ISERROR(VLOOKUP($S$252,'TAR FIN'!$A$1:$O$88,15,0)),0,VLOOKUP($S$252,'TAR FIN'!$A$1:$O$88,15,0))</f>
        <v>0</v>
      </c>
      <c r="W252" s="4">
        <f>IF(ISERROR(VLOOKUP($T$252,'TAR FIN'!$A$1:$O$88,15,0)),0,VLOOKUP($T$252,'TAR FIN'!$A$1:$O$88,15,0))</f>
        <v>476.06</v>
      </c>
      <c r="X252" s="4">
        <f>IF(ISERROR(VLOOKUP($U$252,'TAR FIN'!$A$1:$O$88,15,0)),0,VLOOKUP($U$252,'TAR FIN'!$A$1:$O$88,15,0))</f>
        <v>165.21</v>
      </c>
      <c r="Y252" s="4"/>
      <c r="Z252" s="4">
        <f ca="1">('TUSD BE'!$AM$48+'TUSD BF'!$AM$48+'TUSD CVA'!$AM$48)*1</f>
        <v>529.7136948578077</v>
      </c>
      <c r="AA252" s="4">
        <f>('TE BE'!$AB$38+'TE BF'!$AB$38+'TE CVA'!$AB$38)*1</f>
        <v>153.95741395122897</v>
      </c>
      <c r="AB252" s="4">
        <f>$K$252*$V$252</f>
        <v>0</v>
      </c>
      <c r="AC252" s="4">
        <f>$M$252*$W$252</f>
        <v>4981.9678999999996</v>
      </c>
      <c r="AD252" s="4">
        <f>$O$252*$X$252</f>
        <v>1728.92265</v>
      </c>
      <c r="AE252" s="4">
        <f>$K$252*$Y$252</f>
        <v>0</v>
      </c>
      <c r="AF252" s="4">
        <f ca="1">$M$252*$Z$252</f>
        <v>5543.4538166869579</v>
      </c>
      <c r="AG252" s="4">
        <f>$O$252*$AA$252</f>
        <v>1611.1643369996111</v>
      </c>
    </row>
    <row r="253" spans="1:33" ht="11.25" customHeight="1" x14ac:dyDescent="0.25">
      <c r="A253" s="3" t="s">
        <v>21</v>
      </c>
      <c r="B253" s="3" t="s">
        <v>33</v>
      </c>
      <c r="C253" s="3" t="s">
        <v>23</v>
      </c>
      <c r="D253" s="3" t="s">
        <v>39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44501</v>
      </c>
      <c r="J253" s="4">
        <v>0</v>
      </c>
      <c r="K253" s="4">
        <v>0</v>
      </c>
      <c r="L253" s="4">
        <v>231.369</v>
      </c>
      <c r="M253" s="4">
        <v>231.369</v>
      </c>
      <c r="N253" s="4">
        <v>231.369</v>
      </c>
      <c r="O253" s="4">
        <v>231.369</v>
      </c>
      <c r="P253" s="4">
        <v>522</v>
      </c>
      <c r="Q253" s="3" t="s">
        <v>26</v>
      </c>
      <c r="R253" s="3">
        <v>0</v>
      </c>
      <c r="S253" s="4">
        <v>0</v>
      </c>
      <c r="T253" s="4">
        <v>50</v>
      </c>
      <c r="U253" s="4">
        <v>83</v>
      </c>
      <c r="V253" s="4">
        <f>IF(ISERROR(VLOOKUP($S$253,'TAR FIN'!$A$1:$O$88,15,0)),0,VLOOKUP($S$253,'TAR FIN'!$A$1:$O$88,15,0))</f>
        <v>0</v>
      </c>
      <c r="W253" s="4">
        <f>IF(ISERROR(VLOOKUP($T$253,'TAR FIN'!$A$1:$O$88,15,0)),0,VLOOKUP($T$253,'TAR FIN'!$A$1:$O$88,15,0))</f>
        <v>476.06</v>
      </c>
      <c r="X253" s="4">
        <f>IF(ISERROR(VLOOKUP($U$253,'TAR FIN'!$A$1:$O$88,15,0)),0,VLOOKUP($U$253,'TAR FIN'!$A$1:$O$88,15,0))</f>
        <v>165.21</v>
      </c>
      <c r="Y253" s="4"/>
      <c r="Z253" s="4">
        <f ca="1">('TUSD BE'!$AM$48+'TUSD BF'!$AM$48+'TUSD CVA'!$AM$48)*1</f>
        <v>529.7136948578077</v>
      </c>
      <c r="AA253" s="4">
        <f>('TE BE'!$AB$38+'TE BF'!$AB$38+'TE CVA'!$AB$38)*1</f>
        <v>153.95741395122897</v>
      </c>
      <c r="AB253" s="4">
        <f>$K$253*$V$253</f>
        <v>0</v>
      </c>
      <c r="AC253" s="4">
        <f>$M$253*$W$253</f>
        <v>110145.52614</v>
      </c>
      <c r="AD253" s="4">
        <f>$O$253*$X$253</f>
        <v>38224.47249</v>
      </c>
      <c r="AE253" s="4">
        <f>$K$253*$Y$253</f>
        <v>0</v>
      </c>
      <c r="AF253" s="4">
        <f ca="1">$M$253*$Z$253</f>
        <v>122559.32786555612</v>
      </c>
      <c r="AG253" s="4">
        <f>$O$253*$AA$253</f>
        <v>35620.972908481897</v>
      </c>
    </row>
    <row r="254" spans="1:33" ht="11.25" customHeight="1" x14ac:dyDescent="0.25">
      <c r="A254" s="3" t="s">
        <v>28</v>
      </c>
      <c r="B254" s="3" t="s">
        <v>33</v>
      </c>
      <c r="C254" s="3" t="s">
        <v>23</v>
      </c>
      <c r="D254" s="3" t="s">
        <v>39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44501</v>
      </c>
      <c r="J254" s="4">
        <v>0</v>
      </c>
      <c r="K254" s="4">
        <v>0</v>
      </c>
      <c r="L254" s="4">
        <v>8.2639999999999993</v>
      </c>
      <c r="M254" s="4">
        <v>8.2639999999999993</v>
      </c>
      <c r="N254" s="4">
        <v>8.2639999999999993</v>
      </c>
      <c r="O254" s="4">
        <v>8.2639999999999993</v>
      </c>
      <c r="P254" s="4">
        <v>37</v>
      </c>
      <c r="Q254" s="3" t="s">
        <v>26</v>
      </c>
      <c r="R254" s="3">
        <v>0</v>
      </c>
      <c r="S254" s="4">
        <v>0</v>
      </c>
      <c r="T254" s="4">
        <v>50</v>
      </c>
      <c r="U254" s="4">
        <v>83</v>
      </c>
      <c r="V254" s="4">
        <f>IF(ISERROR(VLOOKUP($S$254,'TAR FIN'!$A$1:$O$88,15,0)),0,VLOOKUP($S$254,'TAR FIN'!$A$1:$O$88,15,0))</f>
        <v>0</v>
      </c>
      <c r="W254" s="4">
        <f>IF(ISERROR(VLOOKUP($T$254,'TAR FIN'!$A$1:$O$88,15,0)),0,VLOOKUP($T$254,'TAR FIN'!$A$1:$O$88,15,0))</f>
        <v>476.06</v>
      </c>
      <c r="X254" s="4">
        <f>IF(ISERROR(VLOOKUP($U$254,'TAR FIN'!$A$1:$O$88,15,0)),0,VLOOKUP($U$254,'TAR FIN'!$A$1:$O$88,15,0))</f>
        <v>165.21</v>
      </c>
      <c r="Y254" s="4"/>
      <c r="Z254" s="4">
        <f ca="1">('TUSD BE'!$AM$48+'TUSD BF'!$AM$48+'TUSD CVA'!$AM$48)*1</f>
        <v>529.7136948578077</v>
      </c>
      <c r="AA254" s="4">
        <f>('TE BE'!$AB$38+'TE BF'!$AB$38+'TE CVA'!$AB$38)*1</f>
        <v>153.95741395122897</v>
      </c>
      <c r="AB254" s="4">
        <f>$K$254*$V$254</f>
        <v>0</v>
      </c>
      <c r="AC254" s="4">
        <f>$M$254*$W$254</f>
        <v>3934.1598399999998</v>
      </c>
      <c r="AD254" s="4">
        <f>$O$254*$X$254</f>
        <v>1365.2954399999999</v>
      </c>
      <c r="AE254" s="4">
        <f>$K$254*$Y$254</f>
        <v>0</v>
      </c>
      <c r="AF254" s="4">
        <f ca="1">$M$254*$Z$254</f>
        <v>4377.5539743049221</v>
      </c>
      <c r="AG254" s="4">
        <f>$O$254*$AA$254</f>
        <v>1272.3040688929561</v>
      </c>
    </row>
    <row r="255" spans="1:33" ht="11.25" customHeight="1" x14ac:dyDescent="0.25">
      <c r="A255" s="3" t="s">
        <v>21</v>
      </c>
      <c r="B255" s="3" t="s">
        <v>33</v>
      </c>
      <c r="C255" s="3" t="s">
        <v>23</v>
      </c>
      <c r="D255" s="3" t="s">
        <v>39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44531</v>
      </c>
      <c r="J255" s="4">
        <v>0</v>
      </c>
      <c r="K255" s="4">
        <v>0</v>
      </c>
      <c r="L255" s="4">
        <v>290.31</v>
      </c>
      <c r="M255" s="4">
        <v>290.31</v>
      </c>
      <c r="N255" s="4">
        <v>290.31</v>
      </c>
      <c r="O255" s="4">
        <v>290.31</v>
      </c>
      <c r="P255" s="4">
        <v>524</v>
      </c>
      <c r="Q255" s="3" t="s">
        <v>26</v>
      </c>
      <c r="R255" s="3">
        <v>0</v>
      </c>
      <c r="S255" s="4">
        <v>0</v>
      </c>
      <c r="T255" s="4">
        <v>50</v>
      </c>
      <c r="U255" s="4">
        <v>83</v>
      </c>
      <c r="V255" s="4">
        <f>IF(ISERROR(VLOOKUP($S$255,'TAR FIN'!$A$1:$O$88,15,0)),0,VLOOKUP($S$255,'TAR FIN'!$A$1:$O$88,15,0))</f>
        <v>0</v>
      </c>
      <c r="W255" s="4">
        <f>IF(ISERROR(VLOOKUP($T$255,'TAR FIN'!$A$1:$O$88,15,0)),0,VLOOKUP($T$255,'TAR FIN'!$A$1:$O$88,15,0))</f>
        <v>476.06</v>
      </c>
      <c r="X255" s="4">
        <f>IF(ISERROR(VLOOKUP($U$255,'TAR FIN'!$A$1:$O$88,15,0)),0,VLOOKUP($U$255,'TAR FIN'!$A$1:$O$88,15,0))</f>
        <v>165.21</v>
      </c>
      <c r="Y255" s="4"/>
      <c r="Z255" s="4">
        <f ca="1">('TUSD BE'!$AM$48+'TUSD BF'!$AM$48+'TUSD CVA'!$AM$48)*1</f>
        <v>529.7136948578077</v>
      </c>
      <c r="AA255" s="4">
        <f>('TE BE'!$AB$38+'TE BF'!$AB$38+'TE CVA'!$AB$38)*1</f>
        <v>153.95741395122897</v>
      </c>
      <c r="AB255" s="4">
        <f>$K$255*$V$255</f>
        <v>0</v>
      </c>
      <c r="AC255" s="4">
        <f>$M$255*$W$255</f>
        <v>138204.9786</v>
      </c>
      <c r="AD255" s="4">
        <f>$O$255*$X$255</f>
        <v>47962.115100000003</v>
      </c>
      <c r="AE255" s="4">
        <f>$K$255*$Y$255</f>
        <v>0</v>
      </c>
      <c r="AF255" s="4">
        <f ca="1">$M$255*$Z$255</f>
        <v>153781.18275417015</v>
      </c>
      <c r="AG255" s="4">
        <f>$O$255*$AA$255</f>
        <v>44695.376844181286</v>
      </c>
    </row>
    <row r="256" spans="1:33" ht="11.25" customHeight="1" x14ac:dyDescent="0.25">
      <c r="A256" s="3" t="s">
        <v>28</v>
      </c>
      <c r="B256" s="3" t="s">
        <v>33</v>
      </c>
      <c r="C256" s="3" t="s">
        <v>23</v>
      </c>
      <c r="D256" s="3" t="s">
        <v>39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44531</v>
      </c>
      <c r="J256" s="4">
        <v>0</v>
      </c>
      <c r="K256" s="4">
        <v>0</v>
      </c>
      <c r="L256" s="4">
        <v>9.4090000000000007</v>
      </c>
      <c r="M256" s="4">
        <v>9.4090000000000007</v>
      </c>
      <c r="N256" s="4">
        <v>9.4090000000000007</v>
      </c>
      <c r="O256" s="4">
        <v>9.4090000000000007</v>
      </c>
      <c r="P256" s="4">
        <v>39</v>
      </c>
      <c r="Q256" s="3" t="s">
        <v>26</v>
      </c>
      <c r="R256" s="3">
        <v>0</v>
      </c>
      <c r="S256" s="4">
        <v>0</v>
      </c>
      <c r="T256" s="4">
        <v>50</v>
      </c>
      <c r="U256" s="4">
        <v>83</v>
      </c>
      <c r="V256" s="4">
        <f>IF(ISERROR(VLOOKUP($S$256,'TAR FIN'!$A$1:$O$88,15,0)),0,VLOOKUP($S$256,'TAR FIN'!$A$1:$O$88,15,0))</f>
        <v>0</v>
      </c>
      <c r="W256" s="4">
        <f>IF(ISERROR(VLOOKUP($T$256,'TAR FIN'!$A$1:$O$88,15,0)),0,VLOOKUP($T$256,'TAR FIN'!$A$1:$O$88,15,0))</f>
        <v>476.06</v>
      </c>
      <c r="X256" s="4">
        <f>IF(ISERROR(VLOOKUP($U$256,'TAR FIN'!$A$1:$O$88,15,0)),0,VLOOKUP($U$256,'TAR FIN'!$A$1:$O$88,15,0))</f>
        <v>165.21</v>
      </c>
      <c r="Y256" s="4"/>
      <c r="Z256" s="4">
        <f ca="1">('TUSD BE'!$AM$48+'TUSD BF'!$AM$48+'TUSD CVA'!$AM$48)*1</f>
        <v>529.7136948578077</v>
      </c>
      <c r="AA256" s="4">
        <f>('TE BE'!$AB$38+'TE BF'!$AB$38+'TE CVA'!$AB$38)*1</f>
        <v>153.95741395122897</v>
      </c>
      <c r="AB256" s="4">
        <f>$K$256*$V$256</f>
        <v>0</v>
      </c>
      <c r="AC256" s="4">
        <f>$M$256*$W$256</f>
        <v>4479.2485400000005</v>
      </c>
      <c r="AD256" s="4">
        <f>$O$256*$X$256</f>
        <v>1554.4608900000003</v>
      </c>
      <c r="AE256" s="4">
        <f>$K$256*$Y$256</f>
        <v>0</v>
      </c>
      <c r="AF256" s="4">
        <f ca="1">$M$256*$Z$256</f>
        <v>4984.0761549171129</v>
      </c>
      <c r="AG256" s="4">
        <f>$O$256*$AA$256</f>
        <v>1448.5853078671134</v>
      </c>
    </row>
    <row r="257" spans="1:33" ht="11.25" customHeight="1" x14ac:dyDescent="0.25">
      <c r="A257" s="3" t="s">
        <v>21</v>
      </c>
      <c r="B257" s="3" t="s">
        <v>33</v>
      </c>
      <c r="C257" s="3" t="s">
        <v>23</v>
      </c>
      <c r="D257" s="3" t="s">
        <v>39</v>
      </c>
      <c r="E257" s="3" t="s">
        <v>25</v>
      </c>
      <c r="F257" s="3" t="s">
        <v>25</v>
      </c>
      <c r="G257" s="3" t="s">
        <v>25</v>
      </c>
      <c r="H257" s="3" t="s">
        <v>25</v>
      </c>
      <c r="I257" s="6">
        <v>44562</v>
      </c>
      <c r="J257" s="4">
        <v>0</v>
      </c>
      <c r="K257" s="4">
        <v>0</v>
      </c>
      <c r="L257" s="4">
        <v>294.79700000000003</v>
      </c>
      <c r="M257" s="4">
        <v>294.79700000000003</v>
      </c>
      <c r="N257" s="4">
        <v>294.79700000000003</v>
      </c>
      <c r="O257" s="4">
        <v>294.79700000000003</v>
      </c>
      <c r="P257" s="4">
        <v>519</v>
      </c>
      <c r="Q257" s="3" t="s">
        <v>26</v>
      </c>
      <c r="R257" s="3">
        <v>0</v>
      </c>
      <c r="S257" s="4">
        <v>0</v>
      </c>
      <c r="T257" s="4">
        <v>50</v>
      </c>
      <c r="U257" s="4">
        <v>83</v>
      </c>
      <c r="V257" s="4">
        <f>IF(ISERROR(VLOOKUP($S$257,'TAR FIN'!$A$1:$O$88,15,0)),0,VLOOKUP($S$257,'TAR FIN'!$A$1:$O$88,15,0))</f>
        <v>0</v>
      </c>
      <c r="W257" s="4">
        <f>IF(ISERROR(VLOOKUP($T$257,'TAR FIN'!$A$1:$O$88,15,0)),0,VLOOKUP($T$257,'TAR FIN'!$A$1:$O$88,15,0))</f>
        <v>476.06</v>
      </c>
      <c r="X257" s="4">
        <f>IF(ISERROR(VLOOKUP($U$257,'TAR FIN'!$A$1:$O$88,15,0)),0,VLOOKUP($U$257,'TAR FIN'!$A$1:$O$88,15,0))</f>
        <v>165.21</v>
      </c>
      <c r="Y257" s="4"/>
      <c r="Z257" s="4">
        <f ca="1">('TUSD BE'!$AM$48+'TUSD BF'!$AM$48+'TUSD CVA'!$AM$48)*1</f>
        <v>529.7136948578077</v>
      </c>
      <c r="AA257" s="4">
        <f>('TE BE'!$AB$38+'TE BF'!$AB$38+'TE CVA'!$AB$38)*1</f>
        <v>153.95741395122897</v>
      </c>
      <c r="AB257" s="4">
        <f>$K$257*$V$257</f>
        <v>0</v>
      </c>
      <c r="AC257" s="4">
        <f>$M$257*$W$257</f>
        <v>140341.05982000002</v>
      </c>
      <c r="AD257" s="4">
        <f>$O$257*$X$257</f>
        <v>48703.412370000005</v>
      </c>
      <c r="AE257" s="4">
        <f>$K$257*$Y$257</f>
        <v>0</v>
      </c>
      <c r="AF257" s="4">
        <f ca="1">$M$257*$Z$257</f>
        <v>156158.00810299715</v>
      </c>
      <c r="AG257" s="4">
        <f>$O$257*$AA$257</f>
        <v>45386.183760580454</v>
      </c>
    </row>
    <row r="258" spans="1:33" ht="11.25" customHeight="1" x14ac:dyDescent="0.25">
      <c r="A258" s="3" t="s">
        <v>28</v>
      </c>
      <c r="B258" s="3" t="s">
        <v>33</v>
      </c>
      <c r="C258" s="3" t="s">
        <v>23</v>
      </c>
      <c r="D258" s="3" t="s">
        <v>39</v>
      </c>
      <c r="E258" s="3" t="s">
        <v>25</v>
      </c>
      <c r="F258" s="3" t="s">
        <v>25</v>
      </c>
      <c r="G258" s="3" t="s">
        <v>25</v>
      </c>
      <c r="H258" s="3" t="s">
        <v>25</v>
      </c>
      <c r="I258" s="6">
        <v>44562</v>
      </c>
      <c r="J258" s="4">
        <v>0</v>
      </c>
      <c r="K258" s="4">
        <v>0</v>
      </c>
      <c r="L258" s="4">
        <v>8.2870000000000008</v>
      </c>
      <c r="M258" s="4">
        <v>8.2870000000000008</v>
      </c>
      <c r="N258" s="4">
        <v>8.2870000000000008</v>
      </c>
      <c r="O258" s="4">
        <v>8.2870000000000008</v>
      </c>
      <c r="P258" s="4">
        <v>40</v>
      </c>
      <c r="Q258" s="3" t="s">
        <v>26</v>
      </c>
      <c r="R258" s="3">
        <v>0</v>
      </c>
      <c r="S258" s="4">
        <v>0</v>
      </c>
      <c r="T258" s="4">
        <v>50</v>
      </c>
      <c r="U258" s="4">
        <v>83</v>
      </c>
      <c r="V258" s="4">
        <f>IF(ISERROR(VLOOKUP($S$258,'TAR FIN'!$A$1:$O$88,15,0)),0,VLOOKUP($S$258,'TAR FIN'!$A$1:$O$88,15,0))</f>
        <v>0</v>
      </c>
      <c r="W258" s="4">
        <f>IF(ISERROR(VLOOKUP($T$258,'TAR FIN'!$A$1:$O$88,15,0)),0,VLOOKUP($T$258,'TAR FIN'!$A$1:$O$88,15,0))</f>
        <v>476.06</v>
      </c>
      <c r="X258" s="4">
        <f>IF(ISERROR(VLOOKUP($U$258,'TAR FIN'!$A$1:$O$88,15,0)),0,VLOOKUP($U$258,'TAR FIN'!$A$1:$O$88,15,0))</f>
        <v>165.21</v>
      </c>
      <c r="Y258" s="4"/>
      <c r="Z258" s="4">
        <f ca="1">('TUSD BE'!$AM$48+'TUSD BF'!$AM$48+'TUSD CVA'!$AM$48)*1</f>
        <v>529.7136948578077</v>
      </c>
      <c r="AA258" s="4">
        <f>('TE BE'!$AB$38+'TE BF'!$AB$38+'TE CVA'!$AB$38)*1</f>
        <v>153.95741395122897</v>
      </c>
      <c r="AB258" s="4">
        <f>$K$258*$V$258</f>
        <v>0</v>
      </c>
      <c r="AC258" s="4">
        <f>$M$258*$W$258</f>
        <v>3945.1092200000003</v>
      </c>
      <c r="AD258" s="4">
        <f>$O$258*$X$258</f>
        <v>1369.0952700000003</v>
      </c>
      <c r="AE258" s="4">
        <f>$K$258*$Y$258</f>
        <v>0</v>
      </c>
      <c r="AF258" s="4">
        <f ca="1">$M$258*$Z$258</f>
        <v>4389.7373892866526</v>
      </c>
      <c r="AG258" s="4">
        <f>$O$258*$AA$258</f>
        <v>1275.8450894138346</v>
      </c>
    </row>
    <row r="259" spans="1:33" ht="11.25" customHeight="1" x14ac:dyDescent="0.25">
      <c r="A259" s="3" t="s">
        <v>21</v>
      </c>
      <c r="B259" s="3" t="s">
        <v>33</v>
      </c>
      <c r="C259" s="3" t="s">
        <v>23</v>
      </c>
      <c r="D259" s="3" t="s">
        <v>39</v>
      </c>
      <c r="E259" s="3" t="s">
        <v>25</v>
      </c>
      <c r="F259" s="3" t="s">
        <v>25</v>
      </c>
      <c r="G259" s="3" t="s">
        <v>25</v>
      </c>
      <c r="H259" s="3" t="s">
        <v>25</v>
      </c>
      <c r="I259" s="6">
        <v>44593</v>
      </c>
      <c r="J259" s="4">
        <v>0</v>
      </c>
      <c r="K259" s="4">
        <v>0</v>
      </c>
      <c r="L259" s="4">
        <v>271.11700000000002</v>
      </c>
      <c r="M259" s="4">
        <v>271.11700000000002</v>
      </c>
      <c r="N259" s="4">
        <v>271.11700000000002</v>
      </c>
      <c r="O259" s="4">
        <v>271.11700000000002</v>
      </c>
      <c r="P259" s="4">
        <v>523</v>
      </c>
      <c r="Q259" s="3" t="s">
        <v>26</v>
      </c>
      <c r="R259" s="3">
        <v>0</v>
      </c>
      <c r="S259" s="4">
        <v>0</v>
      </c>
      <c r="T259" s="4">
        <v>50</v>
      </c>
      <c r="U259" s="4">
        <v>83</v>
      </c>
      <c r="V259" s="4">
        <f>IF(ISERROR(VLOOKUP($S$259,'TAR FIN'!$A$1:$O$88,15,0)),0,VLOOKUP($S$259,'TAR FIN'!$A$1:$O$88,15,0))</f>
        <v>0</v>
      </c>
      <c r="W259" s="4">
        <f>IF(ISERROR(VLOOKUP($T$259,'TAR FIN'!$A$1:$O$88,15,0)),0,VLOOKUP($T$259,'TAR FIN'!$A$1:$O$88,15,0))</f>
        <v>476.06</v>
      </c>
      <c r="X259" s="4">
        <f>IF(ISERROR(VLOOKUP($U$259,'TAR FIN'!$A$1:$O$88,15,0)),0,VLOOKUP($U$259,'TAR FIN'!$A$1:$O$88,15,0))</f>
        <v>165.21</v>
      </c>
      <c r="Y259" s="4"/>
      <c r="Z259" s="4">
        <f ca="1">('TUSD BE'!$AM$48+'TUSD BF'!$AM$48+'TUSD CVA'!$AM$48)*1</f>
        <v>529.7136948578077</v>
      </c>
      <c r="AA259" s="4">
        <f>('TE BE'!$AB$38+'TE BF'!$AB$38+'TE CVA'!$AB$38)*1</f>
        <v>153.95741395122897</v>
      </c>
      <c r="AB259" s="4">
        <f>$K$259*$V$259</f>
        <v>0</v>
      </c>
      <c r="AC259" s="4">
        <f>$M$259*$W$259</f>
        <v>129067.95902000001</v>
      </c>
      <c r="AD259" s="4">
        <f>$O$259*$X$259</f>
        <v>44791.239570000005</v>
      </c>
      <c r="AE259" s="4">
        <f>$K$259*$Y$259</f>
        <v>0</v>
      </c>
      <c r="AF259" s="4">
        <f ca="1">$M$259*$Z$259</f>
        <v>143614.38780876427</v>
      </c>
      <c r="AG259" s="4">
        <f>$O$259*$AA$259</f>
        <v>41740.47219821535</v>
      </c>
    </row>
    <row r="260" spans="1:33" ht="11.25" customHeight="1" x14ac:dyDescent="0.25">
      <c r="A260" s="3" t="s">
        <v>28</v>
      </c>
      <c r="B260" s="3" t="s">
        <v>33</v>
      </c>
      <c r="C260" s="3" t="s">
        <v>23</v>
      </c>
      <c r="D260" s="3" t="s">
        <v>39</v>
      </c>
      <c r="E260" s="3" t="s">
        <v>25</v>
      </c>
      <c r="F260" s="3" t="s">
        <v>25</v>
      </c>
      <c r="G260" s="3" t="s">
        <v>25</v>
      </c>
      <c r="H260" s="3" t="s">
        <v>25</v>
      </c>
      <c r="I260" s="6">
        <v>44593</v>
      </c>
      <c r="J260" s="4">
        <v>0</v>
      </c>
      <c r="K260" s="4">
        <v>0</v>
      </c>
      <c r="L260" s="4">
        <v>9.3249999999999993</v>
      </c>
      <c r="M260" s="4">
        <v>9.3249999999999993</v>
      </c>
      <c r="N260" s="4">
        <v>9.3249999999999993</v>
      </c>
      <c r="O260" s="4">
        <v>9.3249999999999993</v>
      </c>
      <c r="P260" s="4">
        <v>39</v>
      </c>
      <c r="Q260" s="3" t="s">
        <v>26</v>
      </c>
      <c r="R260" s="3">
        <v>0</v>
      </c>
      <c r="S260" s="4">
        <v>0</v>
      </c>
      <c r="T260" s="4">
        <v>50</v>
      </c>
      <c r="U260" s="4">
        <v>83</v>
      </c>
      <c r="V260" s="4">
        <f>IF(ISERROR(VLOOKUP($S$260,'TAR FIN'!$A$1:$O$88,15,0)),0,VLOOKUP($S$260,'TAR FIN'!$A$1:$O$88,15,0))</f>
        <v>0</v>
      </c>
      <c r="W260" s="4">
        <f>IF(ISERROR(VLOOKUP($T$260,'TAR FIN'!$A$1:$O$88,15,0)),0,VLOOKUP($T$260,'TAR FIN'!$A$1:$O$88,15,0))</f>
        <v>476.06</v>
      </c>
      <c r="X260" s="4">
        <f>IF(ISERROR(VLOOKUP($U$260,'TAR FIN'!$A$1:$O$88,15,0)),0,VLOOKUP($U$260,'TAR FIN'!$A$1:$O$88,15,0))</f>
        <v>165.21</v>
      </c>
      <c r="Y260" s="4"/>
      <c r="Z260" s="4">
        <f ca="1">('TUSD BE'!$AM$48+'TUSD BF'!$AM$48+'TUSD CVA'!$AM$48)*1</f>
        <v>529.7136948578077</v>
      </c>
      <c r="AA260" s="4">
        <f>('TE BE'!$AB$38+'TE BF'!$AB$38+'TE CVA'!$AB$38)*1</f>
        <v>153.95741395122897</v>
      </c>
      <c r="AB260" s="4">
        <f>$K$260*$V$260</f>
        <v>0</v>
      </c>
      <c r="AC260" s="4">
        <f>$M$260*$W$260</f>
        <v>4439.2595000000001</v>
      </c>
      <c r="AD260" s="4">
        <f>$O$260*$X$260</f>
        <v>1540.5832499999999</v>
      </c>
      <c r="AE260" s="4">
        <f>$K$260*$Y$260</f>
        <v>0</v>
      </c>
      <c r="AF260" s="4">
        <f ca="1">$M$260*$Z$260</f>
        <v>4939.5802045490564</v>
      </c>
      <c r="AG260" s="4">
        <f>$O$260*$AA$260</f>
        <v>1435.65288509521</v>
      </c>
    </row>
    <row r="261" spans="1:33" ht="11.25" customHeight="1" x14ac:dyDescent="0.25">
      <c r="A261" s="3" t="s">
        <v>21</v>
      </c>
      <c r="B261" s="3" t="s">
        <v>33</v>
      </c>
      <c r="C261" s="3" t="s">
        <v>23</v>
      </c>
      <c r="D261" s="3" t="s">
        <v>39</v>
      </c>
      <c r="E261" s="3" t="s">
        <v>25</v>
      </c>
      <c r="F261" s="3" t="s">
        <v>25</v>
      </c>
      <c r="G261" s="3" t="s">
        <v>25</v>
      </c>
      <c r="H261" s="3" t="s">
        <v>25</v>
      </c>
      <c r="I261" s="6">
        <v>44621</v>
      </c>
      <c r="J261" s="4">
        <v>0</v>
      </c>
      <c r="K261" s="4">
        <v>0</v>
      </c>
      <c r="L261" s="4">
        <v>270.36900000000003</v>
      </c>
      <c r="M261" s="4">
        <v>270.36900000000003</v>
      </c>
      <c r="N261" s="4">
        <v>270.36900000000003</v>
      </c>
      <c r="O261" s="4">
        <v>270.36900000000003</v>
      </c>
      <c r="P261" s="4">
        <v>528</v>
      </c>
      <c r="Q261" s="3" t="s">
        <v>26</v>
      </c>
      <c r="R261" s="3">
        <v>0</v>
      </c>
      <c r="S261" s="4">
        <v>0</v>
      </c>
      <c r="T261" s="4">
        <v>50</v>
      </c>
      <c r="U261" s="4">
        <v>83</v>
      </c>
      <c r="V261" s="4">
        <f>IF(ISERROR(VLOOKUP($S$261,'TAR FIN'!$A$1:$O$88,15,0)),0,VLOOKUP($S$261,'TAR FIN'!$A$1:$O$88,15,0))</f>
        <v>0</v>
      </c>
      <c r="W261" s="4">
        <f>IF(ISERROR(VLOOKUP($T$261,'TAR FIN'!$A$1:$O$88,15,0)),0,VLOOKUP($T$261,'TAR FIN'!$A$1:$O$88,15,0))</f>
        <v>476.06</v>
      </c>
      <c r="X261" s="4">
        <f>IF(ISERROR(VLOOKUP($U$261,'TAR FIN'!$A$1:$O$88,15,0)),0,VLOOKUP($U$261,'TAR FIN'!$A$1:$O$88,15,0))</f>
        <v>165.21</v>
      </c>
      <c r="Y261" s="4"/>
      <c r="Z261" s="4">
        <f ca="1">('TUSD BE'!$AM$48+'TUSD BF'!$AM$48+'TUSD CVA'!$AM$48)*1</f>
        <v>529.7136948578077</v>
      </c>
      <c r="AA261" s="4">
        <f>('TE BE'!$AB$38+'TE BF'!$AB$38+'TE CVA'!$AB$38)*1</f>
        <v>153.95741395122897</v>
      </c>
      <c r="AB261" s="4">
        <f>$K$261*$V$261</f>
        <v>0</v>
      </c>
      <c r="AC261" s="4">
        <f>$M$261*$W$261</f>
        <v>128711.86614000001</v>
      </c>
      <c r="AD261" s="4">
        <f>$O$261*$X$261</f>
        <v>44667.66249000001</v>
      </c>
      <c r="AE261" s="4">
        <f>$K$261*$Y$261</f>
        <v>0</v>
      </c>
      <c r="AF261" s="4">
        <f ca="1">$M$261*$Z$261</f>
        <v>143218.16196501063</v>
      </c>
      <c r="AG261" s="4">
        <f>$O$261*$AA$261</f>
        <v>41625.312052579829</v>
      </c>
    </row>
    <row r="262" spans="1:33" ht="11.25" customHeight="1" x14ac:dyDescent="0.25">
      <c r="A262" s="3" t="s">
        <v>28</v>
      </c>
      <c r="B262" s="3" t="s">
        <v>33</v>
      </c>
      <c r="C262" s="3" t="s">
        <v>23</v>
      </c>
      <c r="D262" s="3" t="s">
        <v>39</v>
      </c>
      <c r="E262" s="3" t="s">
        <v>25</v>
      </c>
      <c r="F262" s="3" t="s">
        <v>25</v>
      </c>
      <c r="G262" s="3" t="s">
        <v>25</v>
      </c>
      <c r="H262" s="3" t="s">
        <v>25</v>
      </c>
      <c r="I262" s="6">
        <v>44621</v>
      </c>
      <c r="J262" s="4">
        <v>0</v>
      </c>
      <c r="K262" s="4">
        <v>0</v>
      </c>
      <c r="L262" s="4">
        <v>13.425000000000001</v>
      </c>
      <c r="M262" s="4">
        <v>13.425000000000001</v>
      </c>
      <c r="N262" s="4">
        <v>13.425000000000001</v>
      </c>
      <c r="O262" s="4">
        <v>13.425000000000001</v>
      </c>
      <c r="P262" s="4">
        <v>39</v>
      </c>
      <c r="Q262" s="3" t="s">
        <v>26</v>
      </c>
      <c r="R262" s="3">
        <v>0</v>
      </c>
      <c r="S262" s="4">
        <v>0</v>
      </c>
      <c r="T262" s="4">
        <v>50</v>
      </c>
      <c r="U262" s="4">
        <v>83</v>
      </c>
      <c r="V262" s="4">
        <f>IF(ISERROR(VLOOKUP($S$262,'TAR FIN'!$A$1:$O$88,15,0)),0,VLOOKUP($S$262,'TAR FIN'!$A$1:$O$88,15,0))</f>
        <v>0</v>
      </c>
      <c r="W262" s="4">
        <f>IF(ISERROR(VLOOKUP($T$262,'TAR FIN'!$A$1:$O$88,15,0)),0,VLOOKUP($T$262,'TAR FIN'!$A$1:$O$88,15,0))</f>
        <v>476.06</v>
      </c>
      <c r="X262" s="4">
        <f>IF(ISERROR(VLOOKUP($U$262,'TAR FIN'!$A$1:$O$88,15,0)),0,VLOOKUP($U$262,'TAR FIN'!$A$1:$O$88,15,0))</f>
        <v>165.21</v>
      </c>
      <c r="Y262" s="4"/>
      <c r="Z262" s="4">
        <f ca="1">('TUSD BE'!$AM$48+'TUSD BF'!$AM$48+'TUSD CVA'!$AM$48)*1</f>
        <v>529.7136948578077</v>
      </c>
      <c r="AA262" s="4">
        <f>('TE BE'!$AB$38+'TE BF'!$AB$38+'TE CVA'!$AB$38)*1</f>
        <v>153.95741395122897</v>
      </c>
      <c r="AB262" s="4">
        <f>$K$262*$V$262</f>
        <v>0</v>
      </c>
      <c r="AC262" s="4">
        <f>$M$262*$W$262</f>
        <v>6391.1055000000006</v>
      </c>
      <c r="AD262" s="4">
        <f>$O$262*$X$262</f>
        <v>2217.94425</v>
      </c>
      <c r="AE262" s="4">
        <f>$K$262*$Y$262</f>
        <v>0</v>
      </c>
      <c r="AF262" s="4">
        <f ca="1">$M$262*$Z$262</f>
        <v>7111.406353466069</v>
      </c>
      <c r="AG262" s="4">
        <f>$O$262*$AA$262</f>
        <v>2066.8782822952489</v>
      </c>
    </row>
    <row r="263" spans="1:33" ht="11.25" customHeight="1" x14ac:dyDescent="0.25">
      <c r="A263" s="3" t="s">
        <v>21</v>
      </c>
      <c r="B263" s="3" t="s">
        <v>33</v>
      </c>
      <c r="C263" s="3" t="s">
        <v>23</v>
      </c>
      <c r="D263" s="3" t="s">
        <v>39</v>
      </c>
      <c r="E263" s="3" t="s">
        <v>25</v>
      </c>
      <c r="F263" s="3" t="s">
        <v>25</v>
      </c>
      <c r="G263" s="3" t="s">
        <v>25</v>
      </c>
      <c r="H263" s="3" t="s">
        <v>25</v>
      </c>
      <c r="I263" s="6">
        <v>44652</v>
      </c>
      <c r="J263" s="4">
        <v>0</v>
      </c>
      <c r="K263" s="4">
        <v>0</v>
      </c>
      <c r="L263" s="4">
        <v>243.37</v>
      </c>
      <c r="M263" s="4">
        <v>243.37</v>
      </c>
      <c r="N263" s="4">
        <v>243.37</v>
      </c>
      <c r="O263" s="4">
        <v>243.37</v>
      </c>
      <c r="P263" s="4">
        <v>529</v>
      </c>
      <c r="Q263" s="3" t="s">
        <v>26</v>
      </c>
      <c r="R263" s="3">
        <v>0</v>
      </c>
      <c r="S263" s="4">
        <v>0</v>
      </c>
      <c r="T263" s="4">
        <v>50</v>
      </c>
      <c r="U263" s="4">
        <v>83</v>
      </c>
      <c r="V263" s="4">
        <f>IF(ISERROR(VLOOKUP($S$263,'TAR FIN'!$A$1:$O$88,15,0)),0,VLOOKUP($S$263,'TAR FIN'!$A$1:$O$88,15,0))</f>
        <v>0</v>
      </c>
      <c r="W263" s="4">
        <f>IF(ISERROR(VLOOKUP($T$263,'TAR FIN'!$A$1:$O$88,15,0)),0,VLOOKUP($T$263,'TAR FIN'!$A$1:$O$88,15,0))</f>
        <v>476.06</v>
      </c>
      <c r="X263" s="4">
        <f>IF(ISERROR(VLOOKUP($U$263,'TAR FIN'!$A$1:$O$88,15,0)),0,VLOOKUP($U$263,'TAR FIN'!$A$1:$O$88,15,0))</f>
        <v>165.21</v>
      </c>
      <c r="Y263" s="4"/>
      <c r="Z263" s="4">
        <f ca="1">('TUSD BE'!$AM$48+'TUSD BF'!$AM$48+'TUSD CVA'!$AM$48)*1</f>
        <v>529.7136948578077</v>
      </c>
      <c r="AA263" s="4">
        <f>('TE BE'!$AB$38+'TE BF'!$AB$38+'TE CVA'!$AB$38)*1</f>
        <v>153.95741395122897</v>
      </c>
      <c r="AB263" s="4">
        <f>$K$263*$V$263</f>
        <v>0</v>
      </c>
      <c r="AC263" s="4">
        <f>$M$263*$W$263</f>
        <v>115858.7222</v>
      </c>
      <c r="AD263" s="4">
        <f>$O$263*$X$263</f>
        <v>40207.157700000003</v>
      </c>
      <c r="AE263" s="4">
        <f>$K$263*$Y$263</f>
        <v>0</v>
      </c>
      <c r="AF263" s="4">
        <f ca="1">$M$263*$Z$263</f>
        <v>128916.42191754466</v>
      </c>
      <c r="AG263" s="4">
        <f>$O$263*$AA$263</f>
        <v>37468.615833310592</v>
      </c>
    </row>
    <row r="264" spans="1:33" ht="11.25" customHeight="1" x14ac:dyDescent="0.25">
      <c r="A264" s="3" t="s">
        <v>28</v>
      </c>
      <c r="B264" s="3" t="s">
        <v>33</v>
      </c>
      <c r="C264" s="3" t="s">
        <v>23</v>
      </c>
      <c r="D264" s="3" t="s">
        <v>39</v>
      </c>
      <c r="E264" s="3" t="s">
        <v>25</v>
      </c>
      <c r="F264" s="3" t="s">
        <v>25</v>
      </c>
      <c r="G264" s="3" t="s">
        <v>25</v>
      </c>
      <c r="H264" s="3" t="s">
        <v>25</v>
      </c>
      <c r="I264" s="6">
        <v>44652</v>
      </c>
      <c r="J264" s="4">
        <v>0</v>
      </c>
      <c r="K264" s="4">
        <v>0</v>
      </c>
      <c r="L264" s="4">
        <v>8.1370000000000005</v>
      </c>
      <c r="M264" s="4">
        <v>8.1370000000000005</v>
      </c>
      <c r="N264" s="4">
        <v>8.1370000000000005</v>
      </c>
      <c r="O264" s="4">
        <v>8.1370000000000005</v>
      </c>
      <c r="P264" s="4">
        <v>38</v>
      </c>
      <c r="Q264" s="3" t="s">
        <v>26</v>
      </c>
      <c r="R264" s="3">
        <v>0</v>
      </c>
      <c r="S264" s="4">
        <v>0</v>
      </c>
      <c r="T264" s="4">
        <v>50</v>
      </c>
      <c r="U264" s="4">
        <v>83</v>
      </c>
      <c r="V264" s="4">
        <f>IF(ISERROR(VLOOKUP($S$264,'TAR FIN'!$A$1:$O$88,15,0)),0,VLOOKUP($S$264,'TAR FIN'!$A$1:$O$88,15,0))</f>
        <v>0</v>
      </c>
      <c r="W264" s="4">
        <f>IF(ISERROR(VLOOKUP($T$264,'TAR FIN'!$A$1:$O$88,15,0)),0,VLOOKUP($T$264,'TAR FIN'!$A$1:$O$88,15,0))</f>
        <v>476.06</v>
      </c>
      <c r="X264" s="4">
        <f>IF(ISERROR(VLOOKUP($U$264,'TAR FIN'!$A$1:$O$88,15,0)),0,VLOOKUP($U$264,'TAR FIN'!$A$1:$O$88,15,0))</f>
        <v>165.21</v>
      </c>
      <c r="Y264" s="4"/>
      <c r="Z264" s="4">
        <f ca="1">('TUSD BE'!$AM$48+'TUSD BF'!$AM$48+'TUSD CVA'!$AM$48)*1</f>
        <v>529.7136948578077</v>
      </c>
      <c r="AA264" s="4">
        <f>('TE BE'!$AB$38+'TE BF'!$AB$38+'TE CVA'!$AB$38)*1</f>
        <v>153.95741395122897</v>
      </c>
      <c r="AB264" s="4">
        <f>$K$264*$V$264</f>
        <v>0</v>
      </c>
      <c r="AC264" s="4">
        <f>$M$264*$W$264</f>
        <v>3873.7002200000002</v>
      </c>
      <c r="AD264" s="4">
        <f>$O$264*$X$264</f>
        <v>1344.3137700000002</v>
      </c>
      <c r="AE264" s="4">
        <f>$K$264*$Y$264</f>
        <v>0</v>
      </c>
      <c r="AF264" s="4">
        <f ca="1">$M$264*$Z$264</f>
        <v>4310.2803350579816</v>
      </c>
      <c r="AG264" s="4">
        <f>$O$264*$AA$264</f>
        <v>1252.7514773211501</v>
      </c>
    </row>
    <row r="265" spans="1:33" ht="11.25" customHeight="1" x14ac:dyDescent="0.25">
      <c r="A265" s="3" t="s">
        <v>21</v>
      </c>
      <c r="B265" s="3" t="s">
        <v>33</v>
      </c>
      <c r="C265" s="3" t="s">
        <v>23</v>
      </c>
      <c r="D265" s="3" t="s">
        <v>39</v>
      </c>
      <c r="E265" s="3" t="s">
        <v>25</v>
      </c>
      <c r="F265" s="3" t="s">
        <v>25</v>
      </c>
      <c r="G265" s="3" t="s">
        <v>25</v>
      </c>
      <c r="H265" s="3" t="s">
        <v>25</v>
      </c>
      <c r="I265" s="6">
        <v>44682</v>
      </c>
      <c r="J265" s="4">
        <v>0</v>
      </c>
      <c r="K265" s="4">
        <v>0</v>
      </c>
      <c r="L265" s="4">
        <v>222.07400000000001</v>
      </c>
      <c r="M265" s="4">
        <v>222.07400000000001</v>
      </c>
      <c r="N265" s="4">
        <v>222.07400000000001</v>
      </c>
      <c r="O265" s="4">
        <v>222.07400000000001</v>
      </c>
      <c r="P265" s="4">
        <v>530</v>
      </c>
      <c r="Q265" s="3" t="s">
        <v>26</v>
      </c>
      <c r="R265" s="3">
        <v>0</v>
      </c>
      <c r="S265" s="4">
        <v>0</v>
      </c>
      <c r="T265" s="4">
        <v>50</v>
      </c>
      <c r="U265" s="4">
        <v>83</v>
      </c>
      <c r="V265" s="4">
        <f>IF(ISERROR(VLOOKUP($S$265,'TAR FIN'!$A$1:$O$88,15,0)),0,VLOOKUP($S$265,'TAR FIN'!$A$1:$O$88,15,0))</f>
        <v>0</v>
      </c>
      <c r="W265" s="4">
        <f>IF(ISERROR(VLOOKUP($T$265,'TAR FIN'!$A$1:$O$88,15,0)),0,VLOOKUP($T$265,'TAR FIN'!$A$1:$O$88,15,0))</f>
        <v>476.06</v>
      </c>
      <c r="X265" s="4">
        <f>IF(ISERROR(VLOOKUP($U$265,'TAR FIN'!$A$1:$O$88,15,0)),0,VLOOKUP($U$265,'TAR FIN'!$A$1:$O$88,15,0))</f>
        <v>165.21</v>
      </c>
      <c r="Y265" s="4"/>
      <c r="Z265" s="4">
        <f ca="1">('TUSD BE'!$AM$48+'TUSD BF'!$AM$48+'TUSD CVA'!$AM$48)*1</f>
        <v>529.7136948578077</v>
      </c>
      <c r="AA265" s="4">
        <f>('TE BE'!$AB$38+'TE BF'!$AB$38+'TE CVA'!$AB$38)*1</f>
        <v>153.95741395122897</v>
      </c>
      <c r="AB265" s="4">
        <f>$K$265*$V$265</f>
        <v>0</v>
      </c>
      <c r="AC265" s="4">
        <f>$M$265*$W$265</f>
        <v>105720.54844000001</v>
      </c>
      <c r="AD265" s="4">
        <f>$O$265*$X$265</f>
        <v>36688.845540000002</v>
      </c>
      <c r="AE265" s="4">
        <f>$K$265*$Y$265</f>
        <v>0</v>
      </c>
      <c r="AF265" s="4">
        <f ca="1">$M$265*$Z$265</f>
        <v>117635.6390718528</v>
      </c>
      <c r="AG265" s="4">
        <f>$O$265*$AA$265</f>
        <v>34189.938745805222</v>
      </c>
    </row>
    <row r="266" spans="1:33" ht="11.25" customHeight="1" x14ac:dyDescent="0.25">
      <c r="A266" s="3" t="s">
        <v>28</v>
      </c>
      <c r="B266" s="3" t="s">
        <v>33</v>
      </c>
      <c r="C266" s="3" t="s">
        <v>23</v>
      </c>
      <c r="D266" s="3" t="s">
        <v>39</v>
      </c>
      <c r="E266" s="3" t="s">
        <v>25</v>
      </c>
      <c r="F266" s="3" t="s">
        <v>25</v>
      </c>
      <c r="G266" s="3" t="s">
        <v>25</v>
      </c>
      <c r="H266" s="3" t="s">
        <v>25</v>
      </c>
      <c r="I266" s="6">
        <v>44682</v>
      </c>
      <c r="J266" s="4">
        <v>0</v>
      </c>
      <c r="K266" s="4">
        <v>0</v>
      </c>
      <c r="L266" s="4">
        <v>10.545999999999999</v>
      </c>
      <c r="M266" s="4">
        <v>10.545999999999999</v>
      </c>
      <c r="N266" s="4">
        <v>10.545999999999999</v>
      </c>
      <c r="O266" s="4">
        <v>10.545999999999999</v>
      </c>
      <c r="P266" s="4">
        <v>39</v>
      </c>
      <c r="Q266" s="3" t="s">
        <v>26</v>
      </c>
      <c r="R266" s="3">
        <v>0</v>
      </c>
      <c r="S266" s="4">
        <v>0</v>
      </c>
      <c r="T266" s="4">
        <v>50</v>
      </c>
      <c r="U266" s="4">
        <v>83</v>
      </c>
      <c r="V266" s="4">
        <f>IF(ISERROR(VLOOKUP($S$266,'TAR FIN'!$A$1:$O$88,15,0)),0,VLOOKUP($S$266,'TAR FIN'!$A$1:$O$88,15,0))</f>
        <v>0</v>
      </c>
      <c r="W266" s="4">
        <f>IF(ISERROR(VLOOKUP($T$266,'TAR FIN'!$A$1:$O$88,15,0)),0,VLOOKUP($T$266,'TAR FIN'!$A$1:$O$88,15,0))</f>
        <v>476.06</v>
      </c>
      <c r="X266" s="4">
        <f>IF(ISERROR(VLOOKUP($U$266,'TAR FIN'!$A$1:$O$88,15,0)),0,VLOOKUP($U$266,'TAR FIN'!$A$1:$O$88,15,0))</f>
        <v>165.21</v>
      </c>
      <c r="Y266" s="4"/>
      <c r="Z266" s="4">
        <f ca="1">('TUSD BE'!$AM$48+'TUSD BF'!$AM$48+'TUSD CVA'!$AM$48)*1</f>
        <v>529.7136948578077</v>
      </c>
      <c r="AA266" s="4">
        <f>('TE BE'!$AB$38+'TE BF'!$AB$38+'TE CVA'!$AB$38)*1</f>
        <v>153.95741395122897</v>
      </c>
      <c r="AB266" s="4">
        <f>$K$266*$V$266</f>
        <v>0</v>
      </c>
      <c r="AC266" s="4">
        <f>$M$266*$W$266</f>
        <v>5020.5287600000001</v>
      </c>
      <c r="AD266" s="4">
        <f>$O$266*$X$266</f>
        <v>1742.30466</v>
      </c>
      <c r="AE266" s="4">
        <f>$K$266*$Y$266</f>
        <v>0</v>
      </c>
      <c r="AF266" s="4">
        <f ca="1">$M$266*$Z$266</f>
        <v>5586.3606259704393</v>
      </c>
      <c r="AG266" s="4">
        <f>$O$266*$AA$266</f>
        <v>1623.6348875296605</v>
      </c>
    </row>
    <row r="267" spans="1:33" ht="11.25" customHeight="1" x14ac:dyDescent="0.25">
      <c r="A267" s="3" t="s">
        <v>21</v>
      </c>
      <c r="B267" s="3" t="s">
        <v>33</v>
      </c>
      <c r="C267" s="3" t="s">
        <v>23</v>
      </c>
      <c r="D267" s="3" t="s">
        <v>39</v>
      </c>
      <c r="E267" s="3" t="s">
        <v>25</v>
      </c>
      <c r="F267" s="3" t="s">
        <v>25</v>
      </c>
      <c r="G267" s="3" t="s">
        <v>25</v>
      </c>
      <c r="H267" s="3" t="s">
        <v>25</v>
      </c>
      <c r="I267" s="6">
        <v>44713</v>
      </c>
      <c r="J267" s="4">
        <v>0</v>
      </c>
      <c r="K267" s="4">
        <v>0</v>
      </c>
      <c r="L267" s="4">
        <v>217.953</v>
      </c>
      <c r="M267" s="4">
        <v>217.953</v>
      </c>
      <c r="N267" s="4">
        <v>217.953</v>
      </c>
      <c r="O267" s="4">
        <v>217.953</v>
      </c>
      <c r="P267" s="4">
        <v>532</v>
      </c>
      <c r="Q267" s="3" t="s">
        <v>26</v>
      </c>
      <c r="R267" s="3">
        <v>0</v>
      </c>
      <c r="S267" s="4">
        <v>0</v>
      </c>
      <c r="T267" s="4">
        <v>50</v>
      </c>
      <c r="U267" s="4">
        <v>83</v>
      </c>
      <c r="V267" s="4">
        <f>IF(ISERROR(VLOOKUP($S$267,'TAR FIN'!$A$1:$O$88,15,0)),0,VLOOKUP($S$267,'TAR FIN'!$A$1:$O$88,15,0))</f>
        <v>0</v>
      </c>
      <c r="W267" s="4">
        <f>IF(ISERROR(VLOOKUP($T$267,'TAR FIN'!$A$1:$O$88,15,0)),0,VLOOKUP($T$267,'TAR FIN'!$A$1:$O$88,15,0))</f>
        <v>476.06</v>
      </c>
      <c r="X267" s="4">
        <f>IF(ISERROR(VLOOKUP($U$267,'TAR FIN'!$A$1:$O$88,15,0)),0,VLOOKUP($U$267,'TAR FIN'!$A$1:$O$88,15,0))</f>
        <v>165.21</v>
      </c>
      <c r="Y267" s="4"/>
      <c r="Z267" s="4">
        <f ca="1">('TUSD BE'!$AM$48+'TUSD BF'!$AM$48+'TUSD CVA'!$AM$48)*1</f>
        <v>529.7136948578077</v>
      </c>
      <c r="AA267" s="4">
        <f>('TE BE'!$AB$38+'TE BF'!$AB$38+'TE CVA'!$AB$38)*1</f>
        <v>153.95741395122897</v>
      </c>
      <c r="AB267" s="4">
        <f>$K$267*$V$267</f>
        <v>0</v>
      </c>
      <c r="AC267" s="4">
        <f>$M$267*$W$267</f>
        <v>103758.70518</v>
      </c>
      <c r="AD267" s="4">
        <f>$O$267*$X$267</f>
        <v>36008.01513</v>
      </c>
      <c r="AE267" s="4">
        <f>$K$267*$Y$267</f>
        <v>0</v>
      </c>
      <c r="AF267" s="4">
        <f ca="1">$M$267*$Z$267</f>
        <v>115452.68893534376</v>
      </c>
      <c r="AG267" s="4">
        <f>$O$267*$AA$267</f>
        <v>33555.480242912206</v>
      </c>
    </row>
    <row r="268" spans="1:33" ht="11.25" customHeight="1" x14ac:dyDescent="0.25">
      <c r="A268" s="3" t="s">
        <v>28</v>
      </c>
      <c r="B268" s="3" t="s">
        <v>33</v>
      </c>
      <c r="C268" s="3" t="s">
        <v>23</v>
      </c>
      <c r="D268" s="3" t="s">
        <v>39</v>
      </c>
      <c r="E268" s="3" t="s">
        <v>25</v>
      </c>
      <c r="F268" s="3" t="s">
        <v>25</v>
      </c>
      <c r="G268" s="3" t="s">
        <v>25</v>
      </c>
      <c r="H268" s="3" t="s">
        <v>25</v>
      </c>
      <c r="I268" s="6">
        <v>44713</v>
      </c>
      <c r="J268" s="4">
        <v>0</v>
      </c>
      <c r="K268" s="4">
        <v>0</v>
      </c>
      <c r="L268" s="4">
        <v>16.420000000000002</v>
      </c>
      <c r="M268" s="4">
        <v>16.420000000000002</v>
      </c>
      <c r="N268" s="4">
        <v>16.420000000000002</v>
      </c>
      <c r="O268" s="4">
        <v>16.420000000000002</v>
      </c>
      <c r="P268" s="4">
        <v>42</v>
      </c>
      <c r="Q268" s="3" t="s">
        <v>26</v>
      </c>
      <c r="R268" s="3">
        <v>0</v>
      </c>
      <c r="S268" s="4">
        <v>0</v>
      </c>
      <c r="T268" s="4">
        <v>50</v>
      </c>
      <c r="U268" s="4">
        <v>83</v>
      </c>
      <c r="V268" s="4">
        <f>IF(ISERROR(VLOOKUP($S$268,'TAR FIN'!$A$1:$O$88,15,0)),0,VLOOKUP($S$268,'TAR FIN'!$A$1:$O$88,15,0))</f>
        <v>0</v>
      </c>
      <c r="W268" s="4">
        <f>IF(ISERROR(VLOOKUP($T$268,'TAR FIN'!$A$1:$O$88,15,0)),0,VLOOKUP($T$268,'TAR FIN'!$A$1:$O$88,15,0))</f>
        <v>476.06</v>
      </c>
      <c r="X268" s="4">
        <f>IF(ISERROR(VLOOKUP($U$268,'TAR FIN'!$A$1:$O$88,15,0)),0,VLOOKUP($U$268,'TAR FIN'!$A$1:$O$88,15,0))</f>
        <v>165.21</v>
      </c>
      <c r="Y268" s="4"/>
      <c r="Z268" s="4">
        <f ca="1">('TUSD BE'!$AM$48+'TUSD BF'!$AM$48+'TUSD CVA'!$AM$48)*1</f>
        <v>529.7136948578077</v>
      </c>
      <c r="AA268" s="4">
        <f>('TE BE'!$AB$38+'TE BF'!$AB$38+'TE CVA'!$AB$38)*1</f>
        <v>153.95741395122897</v>
      </c>
      <c r="AB268" s="4">
        <f>$K$268*$V$268</f>
        <v>0</v>
      </c>
      <c r="AC268" s="4">
        <f>$M$268*$W$268</f>
        <v>7816.9052000000011</v>
      </c>
      <c r="AD268" s="4">
        <f>$O$268*$X$268</f>
        <v>2712.7482000000005</v>
      </c>
      <c r="AE268" s="4">
        <f>$K$268*$Y$268</f>
        <v>0</v>
      </c>
      <c r="AF268" s="4">
        <f ca="1">$M$268*$Z$268</f>
        <v>8697.8988695652024</v>
      </c>
      <c r="AG268" s="4">
        <f>$O$268*$AA$268</f>
        <v>2527.98073707918</v>
      </c>
    </row>
    <row r="269" spans="1:33" ht="11.25" customHeight="1" x14ac:dyDescent="0.25">
      <c r="A269" s="3" t="s">
        <v>21</v>
      </c>
      <c r="B269" s="3" t="s">
        <v>33</v>
      </c>
      <c r="C269" s="3" t="s">
        <v>23</v>
      </c>
      <c r="D269" s="3" t="s">
        <v>39</v>
      </c>
      <c r="E269" s="3" t="s">
        <v>25</v>
      </c>
      <c r="F269" s="3" t="s">
        <v>25</v>
      </c>
      <c r="G269" s="3" t="s">
        <v>25</v>
      </c>
      <c r="H269" s="3" t="s">
        <v>25</v>
      </c>
      <c r="I269" s="6">
        <v>44743</v>
      </c>
      <c r="J269" s="4">
        <v>0</v>
      </c>
      <c r="K269" s="4">
        <v>0</v>
      </c>
      <c r="L269" s="4">
        <v>209.321</v>
      </c>
      <c r="M269" s="4">
        <v>209.321</v>
      </c>
      <c r="N269" s="4">
        <v>209.321</v>
      </c>
      <c r="O269" s="4">
        <v>209.321</v>
      </c>
      <c r="P269" s="4">
        <v>540</v>
      </c>
      <c r="Q269" s="3" t="s">
        <v>26</v>
      </c>
      <c r="R269" s="3">
        <v>0</v>
      </c>
      <c r="S269" s="4">
        <v>0</v>
      </c>
      <c r="T269" s="4">
        <v>50</v>
      </c>
      <c r="U269" s="4">
        <v>83</v>
      </c>
      <c r="V269" s="4">
        <f>IF(ISERROR(VLOOKUP($S$269,'TAR FIN'!$A$1:$O$88,15,0)),0,VLOOKUP($S$269,'TAR FIN'!$A$1:$O$88,15,0))</f>
        <v>0</v>
      </c>
      <c r="W269" s="4">
        <f>IF(ISERROR(VLOOKUP($T$269,'TAR FIN'!$A$1:$O$88,15,0)),0,VLOOKUP($T$269,'TAR FIN'!$A$1:$O$88,15,0))</f>
        <v>476.06</v>
      </c>
      <c r="X269" s="4">
        <f>IF(ISERROR(VLOOKUP($U$269,'TAR FIN'!$A$1:$O$88,15,0)),0,VLOOKUP($U$269,'TAR FIN'!$A$1:$O$88,15,0))</f>
        <v>165.21</v>
      </c>
      <c r="Y269" s="4"/>
      <c r="Z269" s="4">
        <f ca="1">('TUSD BE'!$AM$48+'TUSD BF'!$AM$48+'TUSD CVA'!$AM$48)*1</f>
        <v>529.7136948578077</v>
      </c>
      <c r="AA269" s="4">
        <f>('TE BE'!$AB$38+'TE BF'!$AB$38+'TE CVA'!$AB$38)*1</f>
        <v>153.95741395122897</v>
      </c>
      <c r="AB269" s="4">
        <f>$K$269*$V$269</f>
        <v>0</v>
      </c>
      <c r="AC269" s="4">
        <f>$M$269*$W$269</f>
        <v>99649.355259999997</v>
      </c>
      <c r="AD269" s="4">
        <f>$O$269*$X$269</f>
        <v>34581.922409999999</v>
      </c>
      <c r="AE269" s="4">
        <f>$K$269*$Y$269</f>
        <v>0</v>
      </c>
      <c r="AF269" s="4">
        <f ca="1">$M$269*$Z$269</f>
        <v>110880.20032133117</v>
      </c>
      <c r="AG269" s="4">
        <f>$O$269*$AA$269</f>
        <v>32226.519845685198</v>
      </c>
    </row>
    <row r="270" spans="1:33" ht="11.25" customHeight="1" x14ac:dyDescent="0.25">
      <c r="A270" s="3" t="s">
        <v>28</v>
      </c>
      <c r="B270" s="3" t="s">
        <v>33</v>
      </c>
      <c r="C270" s="3" t="s">
        <v>23</v>
      </c>
      <c r="D270" s="3" t="s">
        <v>39</v>
      </c>
      <c r="E270" s="3" t="s">
        <v>25</v>
      </c>
      <c r="F270" s="3" t="s">
        <v>25</v>
      </c>
      <c r="G270" s="3" t="s">
        <v>25</v>
      </c>
      <c r="H270" s="3" t="s">
        <v>25</v>
      </c>
      <c r="I270" s="6">
        <v>44743</v>
      </c>
      <c r="J270" s="4">
        <v>0</v>
      </c>
      <c r="K270" s="4">
        <v>0</v>
      </c>
      <c r="L270" s="4">
        <v>12.760999999999999</v>
      </c>
      <c r="M270" s="4">
        <v>12.760999999999999</v>
      </c>
      <c r="N270" s="4">
        <v>12.760999999999999</v>
      </c>
      <c r="O270" s="4">
        <v>12.760999999999999</v>
      </c>
      <c r="P270" s="4">
        <v>37</v>
      </c>
      <c r="Q270" s="3" t="s">
        <v>26</v>
      </c>
      <c r="R270" s="3">
        <v>0</v>
      </c>
      <c r="S270" s="4">
        <v>0</v>
      </c>
      <c r="T270" s="4">
        <v>50</v>
      </c>
      <c r="U270" s="4">
        <v>83</v>
      </c>
      <c r="V270" s="4">
        <f>IF(ISERROR(VLOOKUP($S$270,'TAR FIN'!$A$1:$O$88,15,0)),0,VLOOKUP($S$270,'TAR FIN'!$A$1:$O$88,15,0))</f>
        <v>0</v>
      </c>
      <c r="W270" s="4">
        <f>IF(ISERROR(VLOOKUP($T$270,'TAR FIN'!$A$1:$O$88,15,0)),0,VLOOKUP($T$270,'TAR FIN'!$A$1:$O$88,15,0))</f>
        <v>476.06</v>
      </c>
      <c r="X270" s="4">
        <f>IF(ISERROR(VLOOKUP($U$270,'TAR FIN'!$A$1:$O$88,15,0)),0,VLOOKUP($U$270,'TAR FIN'!$A$1:$O$88,15,0))</f>
        <v>165.21</v>
      </c>
      <c r="Y270" s="4"/>
      <c r="Z270" s="4">
        <f ca="1">('TUSD BE'!$AM$48+'TUSD BF'!$AM$48+'TUSD CVA'!$AM$48)*1</f>
        <v>529.7136948578077</v>
      </c>
      <c r="AA270" s="4">
        <f>('TE BE'!$AB$38+'TE BF'!$AB$38+'TE CVA'!$AB$38)*1</f>
        <v>153.95741395122897</v>
      </c>
      <c r="AB270" s="4">
        <f>$K$270*$V$270</f>
        <v>0</v>
      </c>
      <c r="AC270" s="4">
        <f>$M$270*$W$270</f>
        <v>6075.0016599999999</v>
      </c>
      <c r="AD270" s="4">
        <f>$O$270*$X$270</f>
        <v>2108.2448100000001</v>
      </c>
      <c r="AE270" s="4">
        <f>$K$270*$Y$270</f>
        <v>0</v>
      </c>
      <c r="AF270" s="4">
        <f ca="1">$M$270*$Z$270</f>
        <v>6759.6764600804836</v>
      </c>
      <c r="AG270" s="4">
        <f>$O$270*$AA$270</f>
        <v>1964.6505594316327</v>
      </c>
    </row>
    <row r="271" spans="1:33" ht="11.25" customHeight="1" x14ac:dyDescent="0.25">
      <c r="A271" s="3" t="s">
        <v>21</v>
      </c>
      <c r="B271" s="3" t="s">
        <v>33</v>
      </c>
      <c r="C271" s="3" t="s">
        <v>23</v>
      </c>
      <c r="D271" s="3" t="s">
        <v>39</v>
      </c>
      <c r="E271" s="3" t="s">
        <v>25</v>
      </c>
      <c r="F271" s="3" t="s">
        <v>25</v>
      </c>
      <c r="G271" s="3" t="s">
        <v>25</v>
      </c>
      <c r="H271" s="3" t="s">
        <v>25</v>
      </c>
      <c r="I271" s="6">
        <v>44774</v>
      </c>
      <c r="J271" s="4">
        <v>0</v>
      </c>
      <c r="K271" s="4">
        <v>0</v>
      </c>
      <c r="L271" s="4">
        <v>211.303</v>
      </c>
      <c r="M271" s="4">
        <v>211.303</v>
      </c>
      <c r="N271" s="4">
        <v>211.303</v>
      </c>
      <c r="O271" s="4">
        <v>211.303</v>
      </c>
      <c r="P271" s="4">
        <v>525</v>
      </c>
      <c r="Q271" s="3" t="s">
        <v>26</v>
      </c>
      <c r="R271" s="3">
        <v>0</v>
      </c>
      <c r="S271" s="4">
        <v>0</v>
      </c>
      <c r="T271" s="4">
        <v>50</v>
      </c>
      <c r="U271" s="4">
        <v>83</v>
      </c>
      <c r="V271" s="4">
        <f>IF(ISERROR(VLOOKUP($S$271,'TAR FIN'!$A$1:$O$88,15,0)),0,VLOOKUP($S$271,'TAR FIN'!$A$1:$O$88,15,0))</f>
        <v>0</v>
      </c>
      <c r="W271" s="4">
        <f>IF(ISERROR(VLOOKUP($T$271,'TAR FIN'!$A$1:$O$88,15,0)),0,VLOOKUP($T$271,'TAR FIN'!$A$1:$O$88,15,0))</f>
        <v>476.06</v>
      </c>
      <c r="X271" s="4">
        <f>IF(ISERROR(VLOOKUP($U$271,'TAR FIN'!$A$1:$O$88,15,0)),0,VLOOKUP($U$271,'TAR FIN'!$A$1:$O$88,15,0))</f>
        <v>165.21</v>
      </c>
      <c r="Y271" s="4"/>
      <c r="Z271" s="4">
        <f ca="1">('TUSD BE'!$AM$48+'TUSD BF'!$AM$48+'TUSD CVA'!$AM$48)*1</f>
        <v>529.7136948578077</v>
      </c>
      <c r="AA271" s="4">
        <f>('TE BE'!$AB$38+'TE BF'!$AB$38+'TE CVA'!$AB$38)*1</f>
        <v>153.95741395122897</v>
      </c>
      <c r="AB271" s="4">
        <f>$K$271*$V$271</f>
        <v>0</v>
      </c>
      <c r="AC271" s="4">
        <f>$M$271*$W$271</f>
        <v>100592.90618000001</v>
      </c>
      <c r="AD271" s="4">
        <f>$O$271*$X$271</f>
        <v>34909.368630000004</v>
      </c>
      <c r="AE271" s="4">
        <f>$K$271*$Y$271</f>
        <v>0</v>
      </c>
      <c r="AF271" s="4">
        <f ca="1">$M$271*$Z$271</f>
        <v>111930.09286453934</v>
      </c>
      <c r="AG271" s="4">
        <f>$O$271*$AA$271</f>
        <v>32531.663440136534</v>
      </c>
    </row>
    <row r="272" spans="1:33" ht="11.25" customHeight="1" x14ac:dyDescent="0.25">
      <c r="A272" s="3" t="s">
        <v>28</v>
      </c>
      <c r="B272" s="3" t="s">
        <v>33</v>
      </c>
      <c r="C272" s="3" t="s">
        <v>23</v>
      </c>
      <c r="D272" s="3" t="s">
        <v>39</v>
      </c>
      <c r="E272" s="3" t="s">
        <v>25</v>
      </c>
      <c r="F272" s="3" t="s">
        <v>25</v>
      </c>
      <c r="G272" s="3" t="s">
        <v>25</v>
      </c>
      <c r="H272" s="3" t="s">
        <v>25</v>
      </c>
      <c r="I272" s="6">
        <v>44774</v>
      </c>
      <c r="J272" s="4">
        <v>0</v>
      </c>
      <c r="K272" s="4">
        <v>0</v>
      </c>
      <c r="L272" s="4">
        <v>12.114000000000001</v>
      </c>
      <c r="M272" s="4">
        <v>12.114000000000001</v>
      </c>
      <c r="N272" s="4">
        <v>12.114000000000001</v>
      </c>
      <c r="O272" s="4">
        <v>12.114000000000001</v>
      </c>
      <c r="P272" s="4">
        <v>46</v>
      </c>
      <c r="Q272" s="3" t="s">
        <v>26</v>
      </c>
      <c r="R272" s="3">
        <v>0</v>
      </c>
      <c r="S272" s="4">
        <v>0</v>
      </c>
      <c r="T272" s="4">
        <v>50</v>
      </c>
      <c r="U272" s="4">
        <v>83</v>
      </c>
      <c r="V272" s="4">
        <f>IF(ISERROR(VLOOKUP($S$272,'TAR FIN'!$A$1:$O$88,15,0)),0,VLOOKUP($S$272,'TAR FIN'!$A$1:$O$88,15,0))</f>
        <v>0</v>
      </c>
      <c r="W272" s="4">
        <f>IF(ISERROR(VLOOKUP($T$272,'TAR FIN'!$A$1:$O$88,15,0)),0,VLOOKUP($T$272,'TAR FIN'!$A$1:$O$88,15,0))</f>
        <v>476.06</v>
      </c>
      <c r="X272" s="4">
        <f>IF(ISERROR(VLOOKUP($U$272,'TAR FIN'!$A$1:$O$88,15,0)),0,VLOOKUP($U$272,'TAR FIN'!$A$1:$O$88,15,0))</f>
        <v>165.21</v>
      </c>
      <c r="Y272" s="4"/>
      <c r="Z272" s="4">
        <f ca="1">('TUSD BE'!$AM$48+'TUSD BF'!$AM$48+'TUSD CVA'!$AM$48)*1</f>
        <v>529.7136948578077</v>
      </c>
      <c r="AA272" s="4">
        <f>('TE BE'!$AB$38+'TE BF'!$AB$38+'TE CVA'!$AB$38)*1</f>
        <v>153.95741395122897</v>
      </c>
      <c r="AB272" s="4">
        <f>$K$272*$V$272</f>
        <v>0</v>
      </c>
      <c r="AC272" s="4">
        <f>$M$272*$W$272</f>
        <v>5766.9908400000004</v>
      </c>
      <c r="AD272" s="4">
        <f>$O$272*$X$272</f>
        <v>2001.3539400000002</v>
      </c>
      <c r="AE272" s="4">
        <f>$K$272*$Y$272</f>
        <v>0</v>
      </c>
      <c r="AF272" s="4">
        <f ca="1">$M$272*$Z$272</f>
        <v>6416.9516995074828</v>
      </c>
      <c r="AG272" s="4">
        <f>$O$272*$AA$272</f>
        <v>1865.0401126051879</v>
      </c>
    </row>
    <row r="273" spans="1:33" ht="11.25" customHeight="1" x14ac:dyDescent="0.25">
      <c r="A273" s="3" t="s">
        <v>21</v>
      </c>
      <c r="B273" s="3" t="s">
        <v>33</v>
      </c>
      <c r="C273" s="3" t="s">
        <v>23</v>
      </c>
      <c r="D273" s="3" t="s">
        <v>49</v>
      </c>
      <c r="E273" s="3" t="s">
        <v>25</v>
      </c>
      <c r="F273" s="3" t="s">
        <v>25</v>
      </c>
      <c r="G273" s="3" t="s">
        <v>25</v>
      </c>
      <c r="H273" s="3" t="s">
        <v>25</v>
      </c>
      <c r="I273" s="6">
        <v>44440</v>
      </c>
      <c r="J273" s="4">
        <v>0</v>
      </c>
      <c r="K273" s="4">
        <v>0</v>
      </c>
      <c r="L273" s="4">
        <v>2.0099999999999998</v>
      </c>
      <c r="M273" s="4">
        <v>2.0099999999999998</v>
      </c>
      <c r="N273" s="4">
        <v>2.0099999999999998</v>
      </c>
      <c r="O273" s="4">
        <v>2.0099999999999998</v>
      </c>
      <c r="P273" s="4">
        <v>1</v>
      </c>
      <c r="Q273" s="3" t="s">
        <v>26</v>
      </c>
      <c r="R273" s="3">
        <v>0</v>
      </c>
      <c r="S273" s="4">
        <v>0</v>
      </c>
      <c r="T273" s="4">
        <v>50</v>
      </c>
      <c r="U273" s="4">
        <v>83</v>
      </c>
      <c r="V273" s="4">
        <f>IF(ISERROR(VLOOKUP($S$273,'TAR FIN'!$A$1:$O$88,15,0)),0,VLOOKUP($S$273,'TAR FIN'!$A$1:$O$88,15,0))</f>
        <v>0</v>
      </c>
      <c r="W273" s="4">
        <f>IF(ISERROR(VLOOKUP($T$273,'TAR FIN'!$A$1:$O$88,15,0)),0,VLOOKUP($T$273,'TAR FIN'!$A$1:$O$88,15,0))</f>
        <v>476.06</v>
      </c>
      <c r="X273" s="4">
        <f>IF(ISERROR(VLOOKUP($U$273,'TAR FIN'!$A$1:$O$88,15,0)),0,VLOOKUP($U$273,'TAR FIN'!$A$1:$O$88,15,0))</f>
        <v>165.21</v>
      </c>
      <c r="Y273" s="4"/>
      <c r="Z273" s="4">
        <f ca="1">('TUSD BE'!$AM$48+'TUSD BF'!$AM$48+'TUSD CVA'!$AM$48)*1</f>
        <v>529.7136948578077</v>
      </c>
      <c r="AA273" s="4">
        <f>('TE BE'!$AB$38+'TE BF'!$AB$38+'TE CVA'!$AB$38)*1</f>
        <v>153.95741395122897</v>
      </c>
      <c r="AB273" s="4">
        <f>$K$273*$V$273</f>
        <v>0</v>
      </c>
      <c r="AC273" s="4">
        <f>$M$273*$W$273</f>
        <v>956.88059999999996</v>
      </c>
      <c r="AD273" s="4">
        <f>$O$273*$X$273</f>
        <v>332.07209999999998</v>
      </c>
      <c r="AE273" s="4">
        <f>$K$273*$Y$273</f>
        <v>0</v>
      </c>
      <c r="AF273" s="4">
        <f ca="1">$M$273*$Z$273</f>
        <v>1064.7245266641933</v>
      </c>
      <c r="AG273" s="4">
        <f>$O$273*$AA$273</f>
        <v>309.45440204197018</v>
      </c>
    </row>
    <row r="274" spans="1:33" ht="11.25" customHeight="1" x14ac:dyDescent="0.25">
      <c r="A274" s="3" t="s">
        <v>21</v>
      </c>
      <c r="B274" s="3" t="s">
        <v>33</v>
      </c>
      <c r="C274" s="3" t="s">
        <v>23</v>
      </c>
      <c r="D274" s="3" t="s">
        <v>49</v>
      </c>
      <c r="E274" s="3" t="s">
        <v>25</v>
      </c>
      <c r="F274" s="3" t="s">
        <v>25</v>
      </c>
      <c r="G274" s="3" t="s">
        <v>25</v>
      </c>
      <c r="H274" s="3" t="s">
        <v>25</v>
      </c>
      <c r="I274" s="6">
        <v>44470</v>
      </c>
      <c r="J274" s="4">
        <v>0</v>
      </c>
      <c r="K274" s="4">
        <v>0</v>
      </c>
      <c r="L274" s="4">
        <v>1.756</v>
      </c>
      <c r="M274" s="4">
        <v>1.756</v>
      </c>
      <c r="N274" s="4">
        <v>1.756</v>
      </c>
      <c r="O274" s="4">
        <v>1.756</v>
      </c>
      <c r="P274" s="4">
        <v>1</v>
      </c>
      <c r="Q274" s="3" t="s">
        <v>26</v>
      </c>
      <c r="R274" s="3">
        <v>0</v>
      </c>
      <c r="S274" s="4">
        <v>0</v>
      </c>
      <c r="T274" s="4">
        <v>50</v>
      </c>
      <c r="U274" s="4">
        <v>83</v>
      </c>
      <c r="V274" s="4">
        <f>IF(ISERROR(VLOOKUP($S$274,'TAR FIN'!$A$1:$O$88,15,0)),0,VLOOKUP($S$274,'TAR FIN'!$A$1:$O$88,15,0))</f>
        <v>0</v>
      </c>
      <c r="W274" s="4">
        <f>IF(ISERROR(VLOOKUP($T$274,'TAR FIN'!$A$1:$O$88,15,0)),0,VLOOKUP($T$274,'TAR FIN'!$A$1:$O$88,15,0))</f>
        <v>476.06</v>
      </c>
      <c r="X274" s="4">
        <f>IF(ISERROR(VLOOKUP($U$274,'TAR FIN'!$A$1:$O$88,15,0)),0,VLOOKUP($U$274,'TAR FIN'!$A$1:$O$88,15,0))</f>
        <v>165.21</v>
      </c>
      <c r="Y274" s="4"/>
      <c r="Z274" s="4">
        <f ca="1">('TUSD BE'!$AM$48+'TUSD BF'!$AM$48+'TUSD CVA'!$AM$48)*1</f>
        <v>529.7136948578077</v>
      </c>
      <c r="AA274" s="4">
        <f>('TE BE'!$AB$38+'TE BF'!$AB$38+'TE CVA'!$AB$38)*1</f>
        <v>153.95741395122897</v>
      </c>
      <c r="AB274" s="4">
        <f>$K$274*$V$274</f>
        <v>0</v>
      </c>
      <c r="AC274" s="4">
        <f>$M$274*$W$274</f>
        <v>835.96136000000001</v>
      </c>
      <c r="AD274" s="4">
        <f>$O$274*$X$274</f>
        <v>290.10876000000002</v>
      </c>
      <c r="AE274" s="4">
        <f>$K$274*$Y$274</f>
        <v>0</v>
      </c>
      <c r="AF274" s="4">
        <f ca="1">$M$274*$Z$274</f>
        <v>930.17724817031035</v>
      </c>
      <c r="AG274" s="4">
        <f>$O$274*$AA$274</f>
        <v>270.34921889835806</v>
      </c>
    </row>
    <row r="275" spans="1:33" ht="11.25" customHeight="1" x14ac:dyDescent="0.25">
      <c r="A275" s="3" t="s">
        <v>21</v>
      </c>
      <c r="B275" s="3" t="s">
        <v>33</v>
      </c>
      <c r="C275" s="3" t="s">
        <v>23</v>
      </c>
      <c r="D275" s="3" t="s">
        <v>49</v>
      </c>
      <c r="E275" s="3" t="s">
        <v>25</v>
      </c>
      <c r="F275" s="3" t="s">
        <v>25</v>
      </c>
      <c r="G275" s="3" t="s">
        <v>25</v>
      </c>
      <c r="H275" s="3" t="s">
        <v>25</v>
      </c>
      <c r="I275" s="6">
        <v>44501</v>
      </c>
      <c r="J275" s="4">
        <v>0</v>
      </c>
      <c r="K275" s="4">
        <v>0</v>
      </c>
      <c r="L275" s="4">
        <v>2.3650000000000002</v>
      </c>
      <c r="M275" s="4">
        <v>2.3650000000000002</v>
      </c>
      <c r="N275" s="4">
        <v>2.3650000000000002</v>
      </c>
      <c r="O275" s="4">
        <v>2.3650000000000002</v>
      </c>
      <c r="P275" s="4">
        <v>1</v>
      </c>
      <c r="Q275" s="3" t="s">
        <v>26</v>
      </c>
      <c r="R275" s="3">
        <v>0</v>
      </c>
      <c r="S275" s="4">
        <v>0</v>
      </c>
      <c r="T275" s="4">
        <v>50</v>
      </c>
      <c r="U275" s="4">
        <v>83</v>
      </c>
      <c r="V275" s="4">
        <f>IF(ISERROR(VLOOKUP($S$275,'TAR FIN'!$A$1:$O$88,15,0)),0,VLOOKUP($S$275,'TAR FIN'!$A$1:$O$88,15,0))</f>
        <v>0</v>
      </c>
      <c r="W275" s="4">
        <f>IF(ISERROR(VLOOKUP($T$275,'TAR FIN'!$A$1:$O$88,15,0)),0,VLOOKUP($T$275,'TAR FIN'!$A$1:$O$88,15,0))</f>
        <v>476.06</v>
      </c>
      <c r="X275" s="4">
        <f>IF(ISERROR(VLOOKUP($U$275,'TAR FIN'!$A$1:$O$88,15,0)),0,VLOOKUP($U$275,'TAR FIN'!$A$1:$O$88,15,0))</f>
        <v>165.21</v>
      </c>
      <c r="Y275" s="4"/>
      <c r="Z275" s="4">
        <f ca="1">('TUSD BE'!$AM$48+'TUSD BF'!$AM$48+'TUSD CVA'!$AM$48)*1</f>
        <v>529.7136948578077</v>
      </c>
      <c r="AA275" s="4">
        <f>('TE BE'!$AB$38+'TE BF'!$AB$38+'TE CVA'!$AB$38)*1</f>
        <v>153.95741395122897</v>
      </c>
      <c r="AB275" s="4">
        <f>$K$275*$V$275</f>
        <v>0</v>
      </c>
      <c r="AC275" s="4">
        <f>$M$275*$W$275</f>
        <v>1125.8819000000001</v>
      </c>
      <c r="AD275" s="4">
        <f>$O$275*$X$275</f>
        <v>390.72165000000007</v>
      </c>
      <c r="AE275" s="4">
        <f>$K$275*$Y$275</f>
        <v>0</v>
      </c>
      <c r="AF275" s="4">
        <f ca="1">$M$275*$Z$275</f>
        <v>1252.7728883387153</v>
      </c>
      <c r="AG275" s="4">
        <f>$O$275*$AA$275</f>
        <v>364.10928399465655</v>
      </c>
    </row>
    <row r="276" spans="1:33" ht="11.25" customHeight="1" x14ac:dyDescent="0.25">
      <c r="A276" s="3" t="s">
        <v>21</v>
      </c>
      <c r="B276" s="3" t="s">
        <v>33</v>
      </c>
      <c r="C276" s="3" t="s">
        <v>23</v>
      </c>
      <c r="D276" s="3" t="s">
        <v>49</v>
      </c>
      <c r="E276" s="3" t="s">
        <v>25</v>
      </c>
      <c r="F276" s="3" t="s">
        <v>25</v>
      </c>
      <c r="G276" s="3" t="s">
        <v>25</v>
      </c>
      <c r="H276" s="3" t="s">
        <v>25</v>
      </c>
      <c r="I276" s="6">
        <v>44531</v>
      </c>
      <c r="J276" s="4">
        <v>0</v>
      </c>
      <c r="K276" s="4">
        <v>0</v>
      </c>
      <c r="L276" s="4">
        <v>3.2789999999999999</v>
      </c>
      <c r="M276" s="4">
        <v>3.2789999999999999</v>
      </c>
      <c r="N276" s="4">
        <v>3.2789999999999999</v>
      </c>
      <c r="O276" s="4">
        <v>3.2789999999999999</v>
      </c>
      <c r="P276" s="4">
        <v>1</v>
      </c>
      <c r="Q276" s="3" t="s">
        <v>26</v>
      </c>
      <c r="R276" s="3">
        <v>0</v>
      </c>
      <c r="S276" s="4">
        <v>0</v>
      </c>
      <c r="T276" s="4">
        <v>50</v>
      </c>
      <c r="U276" s="4">
        <v>83</v>
      </c>
      <c r="V276" s="4">
        <f>IF(ISERROR(VLOOKUP($S$276,'TAR FIN'!$A$1:$O$88,15,0)),0,VLOOKUP($S$276,'TAR FIN'!$A$1:$O$88,15,0))</f>
        <v>0</v>
      </c>
      <c r="W276" s="4">
        <f>IF(ISERROR(VLOOKUP($T$276,'TAR FIN'!$A$1:$O$88,15,0)),0,VLOOKUP($T$276,'TAR FIN'!$A$1:$O$88,15,0))</f>
        <v>476.06</v>
      </c>
      <c r="X276" s="4">
        <f>IF(ISERROR(VLOOKUP($U$276,'TAR FIN'!$A$1:$O$88,15,0)),0,VLOOKUP($U$276,'TAR FIN'!$A$1:$O$88,15,0))</f>
        <v>165.21</v>
      </c>
      <c r="Y276" s="4"/>
      <c r="Z276" s="4">
        <f ca="1">('TUSD BE'!$AM$48+'TUSD BF'!$AM$48+'TUSD CVA'!$AM$48)*1</f>
        <v>529.7136948578077</v>
      </c>
      <c r="AA276" s="4">
        <f>('TE BE'!$AB$38+'TE BF'!$AB$38+'TE CVA'!$AB$38)*1</f>
        <v>153.95741395122897</v>
      </c>
      <c r="AB276" s="4">
        <f>$K$276*$V$276</f>
        <v>0</v>
      </c>
      <c r="AC276" s="4">
        <f>$M$276*$W$276</f>
        <v>1561.00074</v>
      </c>
      <c r="AD276" s="4">
        <f>$O$276*$X$276</f>
        <v>541.72359000000006</v>
      </c>
      <c r="AE276" s="4">
        <f>$K$276*$Y$276</f>
        <v>0</v>
      </c>
      <c r="AF276" s="4">
        <f ca="1">$M$276*$Z$276</f>
        <v>1736.9312054387515</v>
      </c>
      <c r="AG276" s="4">
        <f>$O$276*$AA$276</f>
        <v>504.82636034607981</v>
      </c>
    </row>
    <row r="277" spans="1:33" ht="11.25" customHeight="1" x14ac:dyDescent="0.25">
      <c r="A277" s="3" t="s">
        <v>21</v>
      </c>
      <c r="B277" s="3" t="s">
        <v>33</v>
      </c>
      <c r="C277" s="3" t="s">
        <v>23</v>
      </c>
      <c r="D277" s="3" t="s">
        <v>49</v>
      </c>
      <c r="E277" s="3" t="s">
        <v>25</v>
      </c>
      <c r="F277" s="3" t="s">
        <v>25</v>
      </c>
      <c r="G277" s="3" t="s">
        <v>25</v>
      </c>
      <c r="H277" s="3" t="s">
        <v>25</v>
      </c>
      <c r="I277" s="6">
        <v>44562</v>
      </c>
      <c r="J277" s="4">
        <v>0</v>
      </c>
      <c r="K277" s="4">
        <v>0</v>
      </c>
      <c r="L277" s="4">
        <v>3.6179999999999999</v>
      </c>
      <c r="M277" s="4">
        <v>3.6179999999999999</v>
      </c>
      <c r="N277" s="4">
        <v>3.6179999999999999</v>
      </c>
      <c r="O277" s="4">
        <v>3.6179999999999999</v>
      </c>
      <c r="P277" s="4">
        <v>1</v>
      </c>
      <c r="Q277" s="3" t="s">
        <v>26</v>
      </c>
      <c r="R277" s="3">
        <v>0</v>
      </c>
      <c r="S277" s="4">
        <v>0</v>
      </c>
      <c r="T277" s="4">
        <v>50</v>
      </c>
      <c r="U277" s="4">
        <v>83</v>
      </c>
      <c r="V277" s="4">
        <f>IF(ISERROR(VLOOKUP($S$277,'TAR FIN'!$A$1:$O$88,15,0)),0,VLOOKUP($S$277,'TAR FIN'!$A$1:$O$88,15,0))</f>
        <v>0</v>
      </c>
      <c r="W277" s="4">
        <f>IF(ISERROR(VLOOKUP($T$277,'TAR FIN'!$A$1:$O$88,15,0)),0,VLOOKUP($T$277,'TAR FIN'!$A$1:$O$88,15,0))</f>
        <v>476.06</v>
      </c>
      <c r="X277" s="4">
        <f>IF(ISERROR(VLOOKUP($U$277,'TAR FIN'!$A$1:$O$88,15,0)),0,VLOOKUP($U$277,'TAR FIN'!$A$1:$O$88,15,0))</f>
        <v>165.21</v>
      </c>
      <c r="Y277" s="4"/>
      <c r="Z277" s="4">
        <f ca="1">('TUSD BE'!$AM$48+'TUSD BF'!$AM$48+'TUSD CVA'!$AM$48)*1</f>
        <v>529.7136948578077</v>
      </c>
      <c r="AA277" s="4">
        <f>('TE BE'!$AB$38+'TE BF'!$AB$38+'TE CVA'!$AB$38)*1</f>
        <v>153.95741395122897</v>
      </c>
      <c r="AB277" s="4">
        <f>$K$277*$V$277</f>
        <v>0</v>
      </c>
      <c r="AC277" s="4">
        <f>$M$277*$W$277</f>
        <v>1722.38508</v>
      </c>
      <c r="AD277" s="4">
        <f>$O$277*$X$277</f>
        <v>597.72978000000001</v>
      </c>
      <c r="AE277" s="4">
        <f>$K$277*$Y$277</f>
        <v>0</v>
      </c>
      <c r="AF277" s="4">
        <f ca="1">$M$277*$Z$277</f>
        <v>1916.5041479955482</v>
      </c>
      <c r="AG277" s="4">
        <f>$O$277*$AA$277</f>
        <v>557.0179236755464</v>
      </c>
    </row>
    <row r="278" spans="1:33" ht="11.25" customHeight="1" x14ac:dyDescent="0.25">
      <c r="A278" s="3" t="s">
        <v>21</v>
      </c>
      <c r="B278" s="3" t="s">
        <v>33</v>
      </c>
      <c r="C278" s="3" t="s">
        <v>23</v>
      </c>
      <c r="D278" s="3" t="s">
        <v>49</v>
      </c>
      <c r="E278" s="3" t="s">
        <v>25</v>
      </c>
      <c r="F278" s="3" t="s">
        <v>25</v>
      </c>
      <c r="G278" s="3" t="s">
        <v>25</v>
      </c>
      <c r="H278" s="3" t="s">
        <v>25</v>
      </c>
      <c r="I278" s="6">
        <v>44593</v>
      </c>
      <c r="J278" s="4">
        <v>0</v>
      </c>
      <c r="K278" s="4">
        <v>0</v>
      </c>
      <c r="L278" s="4">
        <v>3.5920000000000001</v>
      </c>
      <c r="M278" s="4">
        <v>3.5920000000000001</v>
      </c>
      <c r="N278" s="4">
        <v>3.5920000000000001</v>
      </c>
      <c r="O278" s="4">
        <v>3.5920000000000001</v>
      </c>
      <c r="P278" s="4">
        <v>1</v>
      </c>
      <c r="Q278" s="3" t="s">
        <v>26</v>
      </c>
      <c r="R278" s="3">
        <v>0</v>
      </c>
      <c r="S278" s="4">
        <v>0</v>
      </c>
      <c r="T278" s="4">
        <v>50</v>
      </c>
      <c r="U278" s="4">
        <v>83</v>
      </c>
      <c r="V278" s="4">
        <f>IF(ISERROR(VLOOKUP($S$278,'TAR FIN'!$A$1:$O$88,15,0)),0,VLOOKUP($S$278,'TAR FIN'!$A$1:$O$88,15,0))</f>
        <v>0</v>
      </c>
      <c r="W278" s="4">
        <f>IF(ISERROR(VLOOKUP($T$278,'TAR FIN'!$A$1:$O$88,15,0)),0,VLOOKUP($T$278,'TAR FIN'!$A$1:$O$88,15,0))</f>
        <v>476.06</v>
      </c>
      <c r="X278" s="4">
        <f>IF(ISERROR(VLOOKUP($U$278,'TAR FIN'!$A$1:$O$88,15,0)),0,VLOOKUP($U$278,'TAR FIN'!$A$1:$O$88,15,0))</f>
        <v>165.21</v>
      </c>
      <c r="Y278" s="4"/>
      <c r="Z278" s="4">
        <f ca="1">('TUSD BE'!$AM$48+'TUSD BF'!$AM$48+'TUSD CVA'!$AM$48)*1</f>
        <v>529.7136948578077</v>
      </c>
      <c r="AA278" s="4">
        <f>('TE BE'!$AB$38+'TE BF'!$AB$38+'TE CVA'!$AB$38)*1</f>
        <v>153.95741395122897</v>
      </c>
      <c r="AB278" s="4">
        <f>$K$278*$V$278</f>
        <v>0</v>
      </c>
      <c r="AC278" s="4">
        <f>$M$278*$W$278</f>
        <v>1710.0075200000001</v>
      </c>
      <c r="AD278" s="4">
        <f>$O$278*$X$278</f>
        <v>593.43432000000007</v>
      </c>
      <c r="AE278" s="4">
        <f>$K$278*$Y$278</f>
        <v>0</v>
      </c>
      <c r="AF278" s="4">
        <f ca="1">$M$278*$Z$278</f>
        <v>1902.7315919292453</v>
      </c>
      <c r="AG278" s="4">
        <f>$O$278*$AA$278</f>
        <v>553.0150309128145</v>
      </c>
    </row>
    <row r="279" spans="1:33" ht="11.25" customHeight="1" x14ac:dyDescent="0.25">
      <c r="A279" s="3" t="s">
        <v>21</v>
      </c>
      <c r="B279" s="3" t="s">
        <v>33</v>
      </c>
      <c r="C279" s="3" t="s">
        <v>23</v>
      </c>
      <c r="D279" s="3" t="s">
        <v>49</v>
      </c>
      <c r="E279" s="3" t="s">
        <v>25</v>
      </c>
      <c r="F279" s="3" t="s">
        <v>25</v>
      </c>
      <c r="G279" s="3" t="s">
        <v>25</v>
      </c>
      <c r="H279" s="3" t="s">
        <v>25</v>
      </c>
      <c r="I279" s="6">
        <v>44621</v>
      </c>
      <c r="J279" s="4">
        <v>0</v>
      </c>
      <c r="K279" s="4">
        <v>0</v>
      </c>
      <c r="L279" s="4">
        <v>3.01</v>
      </c>
      <c r="M279" s="4">
        <v>3.01</v>
      </c>
      <c r="N279" s="4">
        <v>3.01</v>
      </c>
      <c r="O279" s="4">
        <v>3.01</v>
      </c>
      <c r="P279" s="4">
        <v>1</v>
      </c>
      <c r="Q279" s="3" t="s">
        <v>26</v>
      </c>
      <c r="R279" s="3">
        <v>0</v>
      </c>
      <c r="S279" s="4">
        <v>0</v>
      </c>
      <c r="T279" s="4">
        <v>50</v>
      </c>
      <c r="U279" s="4">
        <v>83</v>
      </c>
      <c r="V279" s="4">
        <f>IF(ISERROR(VLOOKUP($S$279,'TAR FIN'!$A$1:$O$88,15,0)),0,VLOOKUP($S$279,'TAR FIN'!$A$1:$O$88,15,0))</f>
        <v>0</v>
      </c>
      <c r="W279" s="4">
        <f>IF(ISERROR(VLOOKUP($T$279,'TAR FIN'!$A$1:$O$88,15,0)),0,VLOOKUP($T$279,'TAR FIN'!$A$1:$O$88,15,0))</f>
        <v>476.06</v>
      </c>
      <c r="X279" s="4">
        <f>IF(ISERROR(VLOOKUP($U$279,'TAR FIN'!$A$1:$O$88,15,0)),0,VLOOKUP($U$279,'TAR FIN'!$A$1:$O$88,15,0))</f>
        <v>165.21</v>
      </c>
      <c r="Y279" s="4"/>
      <c r="Z279" s="4">
        <f ca="1">('TUSD BE'!$AM$48+'TUSD BF'!$AM$48+'TUSD CVA'!$AM$48)*1</f>
        <v>529.7136948578077</v>
      </c>
      <c r="AA279" s="4">
        <f>('TE BE'!$AB$38+'TE BF'!$AB$38+'TE CVA'!$AB$38)*1</f>
        <v>153.95741395122897</v>
      </c>
      <c r="AB279" s="4">
        <f>$K$279*$V$279</f>
        <v>0</v>
      </c>
      <c r="AC279" s="4">
        <f>$M$279*$W$279</f>
        <v>1432.9405999999999</v>
      </c>
      <c r="AD279" s="4">
        <f>$O$279*$X$279</f>
        <v>497.28210000000001</v>
      </c>
      <c r="AE279" s="4">
        <f>$K$279*$Y$279</f>
        <v>0</v>
      </c>
      <c r="AF279" s="4">
        <f ca="1">$M$279*$Z$279</f>
        <v>1594.438221522001</v>
      </c>
      <c r="AG279" s="4">
        <f>$O$279*$AA$279</f>
        <v>463.41181599319918</v>
      </c>
    </row>
    <row r="280" spans="1:33" ht="11.25" customHeight="1" x14ac:dyDescent="0.25">
      <c r="A280" s="3" t="s">
        <v>21</v>
      </c>
      <c r="B280" s="3" t="s">
        <v>33</v>
      </c>
      <c r="C280" s="3" t="s">
        <v>23</v>
      </c>
      <c r="D280" s="3" t="s">
        <v>49</v>
      </c>
      <c r="E280" s="3" t="s">
        <v>25</v>
      </c>
      <c r="F280" s="3" t="s">
        <v>25</v>
      </c>
      <c r="G280" s="3" t="s">
        <v>25</v>
      </c>
      <c r="H280" s="3" t="s">
        <v>25</v>
      </c>
      <c r="I280" s="6">
        <v>44652</v>
      </c>
      <c r="J280" s="4">
        <v>0</v>
      </c>
      <c r="K280" s="4">
        <v>0</v>
      </c>
      <c r="L280" s="4">
        <v>2.379</v>
      </c>
      <c r="M280" s="4">
        <v>2.379</v>
      </c>
      <c r="N280" s="4">
        <v>2.379</v>
      </c>
      <c r="O280" s="4">
        <v>2.379</v>
      </c>
      <c r="P280" s="4">
        <v>1</v>
      </c>
      <c r="Q280" s="3" t="s">
        <v>26</v>
      </c>
      <c r="R280" s="3">
        <v>0</v>
      </c>
      <c r="S280" s="4">
        <v>0</v>
      </c>
      <c r="T280" s="4">
        <v>50</v>
      </c>
      <c r="U280" s="4">
        <v>83</v>
      </c>
      <c r="V280" s="4">
        <f>IF(ISERROR(VLOOKUP($S$280,'TAR FIN'!$A$1:$O$88,15,0)),0,VLOOKUP($S$280,'TAR FIN'!$A$1:$O$88,15,0))</f>
        <v>0</v>
      </c>
      <c r="W280" s="4">
        <f>IF(ISERROR(VLOOKUP($T$280,'TAR FIN'!$A$1:$O$88,15,0)),0,VLOOKUP($T$280,'TAR FIN'!$A$1:$O$88,15,0))</f>
        <v>476.06</v>
      </c>
      <c r="X280" s="4">
        <f>IF(ISERROR(VLOOKUP($U$280,'TAR FIN'!$A$1:$O$88,15,0)),0,VLOOKUP($U$280,'TAR FIN'!$A$1:$O$88,15,0))</f>
        <v>165.21</v>
      </c>
      <c r="Y280" s="4"/>
      <c r="Z280" s="4">
        <f ca="1">('TUSD BE'!$AM$48+'TUSD BF'!$AM$48+'TUSD CVA'!$AM$48)*1</f>
        <v>529.7136948578077</v>
      </c>
      <c r="AA280" s="4">
        <f>('TE BE'!$AB$38+'TE BF'!$AB$38+'TE CVA'!$AB$38)*1</f>
        <v>153.95741395122897</v>
      </c>
      <c r="AB280" s="4">
        <f>$K$280*$V$280</f>
        <v>0</v>
      </c>
      <c r="AC280" s="4">
        <f>$M$280*$W$280</f>
        <v>1132.54674</v>
      </c>
      <c r="AD280" s="4">
        <f>$O$280*$X$280</f>
        <v>393.03459000000004</v>
      </c>
      <c r="AE280" s="4">
        <f>$K$280*$Y$280</f>
        <v>0</v>
      </c>
      <c r="AF280" s="4">
        <f ca="1">$M$280*$Z$280</f>
        <v>1260.1888800667246</v>
      </c>
      <c r="AG280" s="4">
        <f>$O$280*$AA$280</f>
        <v>366.26468778997372</v>
      </c>
    </row>
    <row r="281" spans="1:33" ht="11.25" customHeight="1" x14ac:dyDescent="0.25">
      <c r="A281" s="3" t="s">
        <v>21</v>
      </c>
      <c r="B281" s="3" t="s">
        <v>33</v>
      </c>
      <c r="C281" s="3" t="s">
        <v>23</v>
      </c>
      <c r="D281" s="3" t="s">
        <v>49</v>
      </c>
      <c r="E281" s="3" t="s">
        <v>25</v>
      </c>
      <c r="F281" s="3" t="s">
        <v>25</v>
      </c>
      <c r="G281" s="3" t="s">
        <v>25</v>
      </c>
      <c r="H281" s="3" t="s">
        <v>25</v>
      </c>
      <c r="I281" s="6">
        <v>44682</v>
      </c>
      <c r="J281" s="4">
        <v>0</v>
      </c>
      <c r="K281" s="4">
        <v>0</v>
      </c>
      <c r="L281" s="4">
        <v>2.044</v>
      </c>
      <c r="M281" s="4">
        <v>2.044</v>
      </c>
      <c r="N281" s="4">
        <v>2.044</v>
      </c>
      <c r="O281" s="4">
        <v>2.044</v>
      </c>
      <c r="P281" s="4">
        <v>1</v>
      </c>
      <c r="Q281" s="3" t="s">
        <v>26</v>
      </c>
      <c r="R281" s="3">
        <v>0</v>
      </c>
      <c r="S281" s="4">
        <v>0</v>
      </c>
      <c r="T281" s="4">
        <v>50</v>
      </c>
      <c r="U281" s="4">
        <v>83</v>
      </c>
      <c r="V281" s="4">
        <f>IF(ISERROR(VLOOKUP($S$281,'TAR FIN'!$A$1:$O$88,15,0)),0,VLOOKUP($S$281,'TAR FIN'!$A$1:$O$88,15,0))</f>
        <v>0</v>
      </c>
      <c r="W281" s="4">
        <f>IF(ISERROR(VLOOKUP($T$281,'TAR FIN'!$A$1:$O$88,15,0)),0,VLOOKUP($T$281,'TAR FIN'!$A$1:$O$88,15,0))</f>
        <v>476.06</v>
      </c>
      <c r="X281" s="4">
        <f>IF(ISERROR(VLOOKUP($U$281,'TAR FIN'!$A$1:$O$88,15,0)),0,VLOOKUP($U$281,'TAR FIN'!$A$1:$O$88,15,0))</f>
        <v>165.21</v>
      </c>
      <c r="Y281" s="4"/>
      <c r="Z281" s="4">
        <f ca="1">('TUSD BE'!$AM$48+'TUSD BF'!$AM$48+'TUSD CVA'!$AM$48)*1</f>
        <v>529.7136948578077</v>
      </c>
      <c r="AA281" s="4">
        <f>('TE BE'!$AB$38+'TE BF'!$AB$38+'TE CVA'!$AB$38)*1</f>
        <v>153.95741395122897</v>
      </c>
      <c r="AB281" s="4">
        <f>$K$281*$V$281</f>
        <v>0</v>
      </c>
      <c r="AC281" s="4">
        <f>$M$281*$W$281</f>
        <v>973.06664000000001</v>
      </c>
      <c r="AD281" s="4">
        <f>$O$281*$X$281</f>
        <v>337.68924000000004</v>
      </c>
      <c r="AE281" s="4">
        <f>$K$281*$Y$281</f>
        <v>0</v>
      </c>
      <c r="AF281" s="4">
        <f ca="1">$M$281*$Z$281</f>
        <v>1082.7347922893589</v>
      </c>
      <c r="AG281" s="4">
        <f>$O$281*$AA$281</f>
        <v>314.688954116312</v>
      </c>
    </row>
    <row r="282" spans="1:33" ht="11.25" customHeight="1" x14ac:dyDescent="0.25">
      <c r="A282" s="3" t="s">
        <v>21</v>
      </c>
      <c r="B282" s="3" t="s">
        <v>33</v>
      </c>
      <c r="C282" s="3" t="s">
        <v>23</v>
      </c>
      <c r="D282" s="3" t="s">
        <v>49</v>
      </c>
      <c r="E282" s="3" t="s">
        <v>25</v>
      </c>
      <c r="F282" s="3" t="s">
        <v>25</v>
      </c>
      <c r="G282" s="3" t="s">
        <v>25</v>
      </c>
      <c r="H282" s="3" t="s">
        <v>25</v>
      </c>
      <c r="I282" s="6">
        <v>44713</v>
      </c>
      <c r="J282" s="4">
        <v>0</v>
      </c>
      <c r="K282" s="4">
        <v>0</v>
      </c>
      <c r="L282" s="4">
        <v>2.254</v>
      </c>
      <c r="M282" s="4">
        <v>2.254</v>
      </c>
      <c r="N282" s="4">
        <v>2.254</v>
      </c>
      <c r="O282" s="4">
        <v>2.254</v>
      </c>
      <c r="P282" s="4">
        <v>1</v>
      </c>
      <c r="Q282" s="3" t="s">
        <v>26</v>
      </c>
      <c r="R282" s="3">
        <v>0</v>
      </c>
      <c r="S282" s="4">
        <v>0</v>
      </c>
      <c r="T282" s="4">
        <v>50</v>
      </c>
      <c r="U282" s="4">
        <v>83</v>
      </c>
      <c r="V282" s="4">
        <f>IF(ISERROR(VLOOKUP($S$282,'TAR FIN'!$A$1:$O$88,15,0)),0,VLOOKUP($S$282,'TAR FIN'!$A$1:$O$88,15,0))</f>
        <v>0</v>
      </c>
      <c r="W282" s="4">
        <f>IF(ISERROR(VLOOKUP($T$282,'TAR FIN'!$A$1:$O$88,15,0)),0,VLOOKUP($T$282,'TAR FIN'!$A$1:$O$88,15,0))</f>
        <v>476.06</v>
      </c>
      <c r="X282" s="4">
        <f>IF(ISERROR(VLOOKUP($U$282,'TAR FIN'!$A$1:$O$88,15,0)),0,VLOOKUP($U$282,'TAR FIN'!$A$1:$O$88,15,0))</f>
        <v>165.21</v>
      </c>
      <c r="Y282" s="4"/>
      <c r="Z282" s="4">
        <f ca="1">('TUSD BE'!$AM$48+'TUSD BF'!$AM$48+'TUSD CVA'!$AM$48)*1</f>
        <v>529.7136948578077</v>
      </c>
      <c r="AA282" s="4">
        <f>('TE BE'!$AB$38+'TE BF'!$AB$38+'TE CVA'!$AB$38)*1</f>
        <v>153.95741395122897</v>
      </c>
      <c r="AB282" s="4">
        <f>$K$282*$V$282</f>
        <v>0</v>
      </c>
      <c r="AC282" s="4">
        <f>$M$282*$W$282</f>
        <v>1073.0392400000001</v>
      </c>
      <c r="AD282" s="4">
        <f>$O$282*$X$282</f>
        <v>372.38334000000003</v>
      </c>
      <c r="AE282" s="4">
        <f>$K$282*$Y$282</f>
        <v>0</v>
      </c>
      <c r="AF282" s="4">
        <f ca="1">$M$282*$Z$282</f>
        <v>1193.9746682094985</v>
      </c>
      <c r="AG282" s="4">
        <f>$O$282*$AA$282</f>
        <v>347.02001104607012</v>
      </c>
    </row>
    <row r="283" spans="1:33" ht="11.25" customHeight="1" x14ac:dyDescent="0.25">
      <c r="A283" s="3" t="s">
        <v>21</v>
      </c>
      <c r="B283" s="3" t="s">
        <v>33</v>
      </c>
      <c r="C283" s="3" t="s">
        <v>23</v>
      </c>
      <c r="D283" s="3" t="s">
        <v>49</v>
      </c>
      <c r="E283" s="3" t="s">
        <v>25</v>
      </c>
      <c r="F283" s="3" t="s">
        <v>25</v>
      </c>
      <c r="G283" s="3" t="s">
        <v>25</v>
      </c>
      <c r="H283" s="3" t="s">
        <v>25</v>
      </c>
      <c r="I283" s="6">
        <v>44743</v>
      </c>
      <c r="J283" s="4">
        <v>0</v>
      </c>
      <c r="K283" s="4">
        <v>0</v>
      </c>
      <c r="L283" s="4">
        <v>2.3170000000000002</v>
      </c>
      <c r="M283" s="4">
        <v>2.3170000000000002</v>
      </c>
      <c r="N283" s="4">
        <v>2.3170000000000002</v>
      </c>
      <c r="O283" s="4">
        <v>2.3170000000000002</v>
      </c>
      <c r="P283" s="4">
        <v>1</v>
      </c>
      <c r="Q283" s="3" t="s">
        <v>26</v>
      </c>
      <c r="R283" s="3">
        <v>0</v>
      </c>
      <c r="S283" s="4">
        <v>0</v>
      </c>
      <c r="T283" s="4">
        <v>50</v>
      </c>
      <c r="U283" s="4">
        <v>83</v>
      </c>
      <c r="V283" s="4">
        <f>IF(ISERROR(VLOOKUP($S$283,'TAR FIN'!$A$1:$O$88,15,0)),0,VLOOKUP($S$283,'TAR FIN'!$A$1:$O$88,15,0))</f>
        <v>0</v>
      </c>
      <c r="W283" s="4">
        <f>IF(ISERROR(VLOOKUP($T$283,'TAR FIN'!$A$1:$O$88,15,0)),0,VLOOKUP($T$283,'TAR FIN'!$A$1:$O$88,15,0))</f>
        <v>476.06</v>
      </c>
      <c r="X283" s="4">
        <f>IF(ISERROR(VLOOKUP($U$283,'TAR FIN'!$A$1:$O$88,15,0)),0,VLOOKUP($U$283,'TAR FIN'!$A$1:$O$88,15,0))</f>
        <v>165.21</v>
      </c>
      <c r="Y283" s="4"/>
      <c r="Z283" s="4">
        <f ca="1">('TUSD BE'!$AM$48+'TUSD BF'!$AM$48+'TUSD CVA'!$AM$48)*1</f>
        <v>529.7136948578077</v>
      </c>
      <c r="AA283" s="4">
        <f>('TE BE'!$AB$38+'TE BF'!$AB$38+'TE CVA'!$AB$38)*1</f>
        <v>153.95741395122897</v>
      </c>
      <c r="AB283" s="4">
        <f>$K$283*$V$283</f>
        <v>0</v>
      </c>
      <c r="AC283" s="4">
        <f>$M$283*$W$283</f>
        <v>1103.0310200000001</v>
      </c>
      <c r="AD283" s="4">
        <f>$O$283*$X$283</f>
        <v>382.79157000000004</v>
      </c>
      <c r="AE283" s="4">
        <f>$K$283*$Y$283</f>
        <v>0</v>
      </c>
      <c r="AF283" s="4">
        <f ca="1">$M$283*$Z$283</f>
        <v>1227.3466309855405</v>
      </c>
      <c r="AG283" s="4">
        <f>$O$283*$AA$283</f>
        <v>356.71932812499756</v>
      </c>
    </row>
    <row r="284" spans="1:33" ht="11.25" customHeight="1" x14ac:dyDescent="0.25">
      <c r="A284" s="3" t="s">
        <v>21</v>
      </c>
      <c r="B284" s="3" t="s">
        <v>33</v>
      </c>
      <c r="C284" s="3" t="s">
        <v>23</v>
      </c>
      <c r="D284" s="3" t="s">
        <v>49</v>
      </c>
      <c r="E284" s="3" t="s">
        <v>25</v>
      </c>
      <c r="F284" s="3" t="s">
        <v>25</v>
      </c>
      <c r="G284" s="3" t="s">
        <v>25</v>
      </c>
      <c r="H284" s="3" t="s">
        <v>25</v>
      </c>
      <c r="I284" s="6">
        <v>44774</v>
      </c>
      <c r="J284" s="4">
        <v>0</v>
      </c>
      <c r="K284" s="4">
        <v>0</v>
      </c>
      <c r="L284" s="4">
        <v>1.976</v>
      </c>
      <c r="M284" s="4">
        <v>1.976</v>
      </c>
      <c r="N284" s="4">
        <v>1.976</v>
      </c>
      <c r="O284" s="4">
        <v>1.976</v>
      </c>
      <c r="P284" s="4">
        <v>1</v>
      </c>
      <c r="Q284" s="3" t="s">
        <v>26</v>
      </c>
      <c r="R284" s="3">
        <v>0</v>
      </c>
      <c r="S284" s="4">
        <v>0</v>
      </c>
      <c r="T284" s="4">
        <v>50</v>
      </c>
      <c r="U284" s="4">
        <v>83</v>
      </c>
      <c r="V284" s="4">
        <f>IF(ISERROR(VLOOKUP($S$284,'TAR FIN'!$A$1:$O$88,15,0)),0,VLOOKUP($S$284,'TAR FIN'!$A$1:$O$88,15,0))</f>
        <v>0</v>
      </c>
      <c r="W284" s="4">
        <f>IF(ISERROR(VLOOKUP($T$284,'TAR FIN'!$A$1:$O$88,15,0)),0,VLOOKUP($T$284,'TAR FIN'!$A$1:$O$88,15,0))</f>
        <v>476.06</v>
      </c>
      <c r="X284" s="4">
        <f>IF(ISERROR(VLOOKUP($U$284,'TAR FIN'!$A$1:$O$88,15,0)),0,VLOOKUP($U$284,'TAR FIN'!$A$1:$O$88,15,0))</f>
        <v>165.21</v>
      </c>
      <c r="Y284" s="4"/>
      <c r="Z284" s="4">
        <f ca="1">('TUSD BE'!$AM$48+'TUSD BF'!$AM$48+'TUSD CVA'!$AM$48)*1</f>
        <v>529.7136948578077</v>
      </c>
      <c r="AA284" s="4">
        <f>('TE BE'!$AB$38+'TE BF'!$AB$38+'TE CVA'!$AB$38)*1</f>
        <v>153.95741395122897</v>
      </c>
      <c r="AB284" s="4">
        <f>$K$284*$V$284</f>
        <v>0</v>
      </c>
      <c r="AC284" s="4">
        <f>$M$284*$W$284</f>
        <v>940.69456000000002</v>
      </c>
      <c r="AD284" s="4">
        <f>$O$284*$X$284</f>
        <v>326.45496000000003</v>
      </c>
      <c r="AE284" s="4">
        <f>$K$284*$Y$284</f>
        <v>0</v>
      </c>
      <c r="AF284" s="4">
        <f ca="1">$M$284*$Z$284</f>
        <v>1046.7142610390281</v>
      </c>
      <c r="AG284" s="4">
        <f>$O$284*$AA$284</f>
        <v>304.21984996762842</v>
      </c>
    </row>
    <row r="285" spans="1:33" ht="11.25" customHeight="1" x14ac:dyDescent="0.25">
      <c r="A285" s="3" t="s">
        <v>21</v>
      </c>
      <c r="B285" s="3" t="s">
        <v>33</v>
      </c>
      <c r="C285" s="3" t="s">
        <v>23</v>
      </c>
      <c r="D285" s="3" t="s">
        <v>34</v>
      </c>
      <c r="E285" s="3" t="s">
        <v>25</v>
      </c>
      <c r="F285" s="3" t="s">
        <v>25</v>
      </c>
      <c r="G285" s="3" t="s">
        <v>25</v>
      </c>
      <c r="H285" s="3" t="s">
        <v>25</v>
      </c>
      <c r="I285" s="6">
        <v>44440</v>
      </c>
      <c r="J285" s="4">
        <v>0</v>
      </c>
      <c r="K285" s="4">
        <v>0</v>
      </c>
      <c r="L285" s="4">
        <v>67.537999999999997</v>
      </c>
      <c r="M285" s="4">
        <v>67.537999999999997</v>
      </c>
      <c r="N285" s="4">
        <v>67.537999999999997</v>
      </c>
      <c r="O285" s="4">
        <v>67.537999999999997</v>
      </c>
      <c r="P285" s="4">
        <v>60</v>
      </c>
      <c r="Q285" s="3" t="s">
        <v>26</v>
      </c>
      <c r="R285" s="3">
        <v>0</v>
      </c>
      <c r="S285" s="4">
        <v>0</v>
      </c>
      <c r="T285" s="4">
        <v>50</v>
      </c>
      <c r="U285" s="4">
        <v>83</v>
      </c>
      <c r="V285" s="4">
        <f>IF(ISERROR(VLOOKUP($S$285,'TAR FIN'!$A$1:$O$88,15,0)),0,VLOOKUP($S$285,'TAR FIN'!$A$1:$O$88,15,0))</f>
        <v>0</v>
      </c>
      <c r="W285" s="4">
        <f>IF(ISERROR(VLOOKUP($T$285,'TAR FIN'!$A$1:$O$88,15,0)),0,VLOOKUP($T$285,'TAR FIN'!$A$1:$O$88,15,0))</f>
        <v>476.06</v>
      </c>
      <c r="X285" s="4">
        <f>IF(ISERROR(VLOOKUP($U$285,'TAR FIN'!$A$1:$O$88,15,0)),0,VLOOKUP($U$285,'TAR FIN'!$A$1:$O$88,15,0))</f>
        <v>165.21</v>
      </c>
      <c r="Y285" s="4"/>
      <c r="Z285" s="4">
        <f ca="1">('TUSD BE'!$AM$48+'TUSD BF'!$AM$48+'TUSD CVA'!$AM$48)*1</f>
        <v>529.7136948578077</v>
      </c>
      <c r="AA285" s="4">
        <f>('TE BE'!$AB$38+'TE BF'!$AB$38+'TE CVA'!$AB$38)*1</f>
        <v>153.95741395122897</v>
      </c>
      <c r="AB285" s="4">
        <f>$K$285*$V$285</f>
        <v>0</v>
      </c>
      <c r="AC285" s="4">
        <f>$M$285*$W$285</f>
        <v>32152.14028</v>
      </c>
      <c r="AD285" s="4">
        <f>$O$285*$X$285</f>
        <v>11157.95298</v>
      </c>
      <c r="AE285" s="4">
        <f>$K$285*$Y$285</f>
        <v>0</v>
      </c>
      <c r="AF285" s="4">
        <f ca="1">$M$285*$Z$285</f>
        <v>35775.803523306611</v>
      </c>
      <c r="AG285" s="4">
        <f>$O$285*$AA$285</f>
        <v>10397.975823438102</v>
      </c>
    </row>
    <row r="286" spans="1:33" ht="11.25" customHeight="1" x14ac:dyDescent="0.25">
      <c r="A286" s="3" t="s">
        <v>28</v>
      </c>
      <c r="B286" s="3" t="s">
        <v>33</v>
      </c>
      <c r="C286" s="3" t="s">
        <v>23</v>
      </c>
      <c r="D286" s="3" t="s">
        <v>34</v>
      </c>
      <c r="E286" s="3" t="s">
        <v>25</v>
      </c>
      <c r="F286" s="3" t="s">
        <v>25</v>
      </c>
      <c r="G286" s="3" t="s">
        <v>25</v>
      </c>
      <c r="H286" s="3" t="s">
        <v>25</v>
      </c>
      <c r="I286" s="6">
        <v>44440</v>
      </c>
      <c r="J286" s="4">
        <v>0</v>
      </c>
      <c r="K286" s="4">
        <v>0</v>
      </c>
      <c r="L286" s="4">
        <v>49.024000000000001</v>
      </c>
      <c r="M286" s="4">
        <v>49.024000000000001</v>
      </c>
      <c r="N286" s="4">
        <v>49.024000000000001</v>
      </c>
      <c r="O286" s="4">
        <v>49.024000000000001</v>
      </c>
      <c r="P286" s="4">
        <v>8</v>
      </c>
      <c r="Q286" s="3" t="s">
        <v>26</v>
      </c>
      <c r="R286" s="3">
        <v>0</v>
      </c>
      <c r="S286" s="4">
        <v>0</v>
      </c>
      <c r="T286" s="4">
        <v>50</v>
      </c>
      <c r="U286" s="4">
        <v>83</v>
      </c>
      <c r="V286" s="4">
        <f>IF(ISERROR(VLOOKUP($S$286,'TAR FIN'!$A$1:$O$88,15,0)),0,VLOOKUP($S$286,'TAR FIN'!$A$1:$O$88,15,0))</f>
        <v>0</v>
      </c>
      <c r="W286" s="4">
        <f>IF(ISERROR(VLOOKUP($T$286,'TAR FIN'!$A$1:$O$88,15,0)),0,VLOOKUP($T$286,'TAR FIN'!$A$1:$O$88,15,0))</f>
        <v>476.06</v>
      </c>
      <c r="X286" s="4">
        <f>IF(ISERROR(VLOOKUP($U$286,'TAR FIN'!$A$1:$O$88,15,0)),0,VLOOKUP($U$286,'TAR FIN'!$A$1:$O$88,15,0))</f>
        <v>165.21</v>
      </c>
      <c r="Y286" s="4"/>
      <c r="Z286" s="4">
        <f ca="1">('TUSD BE'!$AM$48+'TUSD BF'!$AM$48+'TUSD CVA'!$AM$48)*1</f>
        <v>529.7136948578077</v>
      </c>
      <c r="AA286" s="4">
        <f>('TE BE'!$AB$38+'TE BF'!$AB$38+'TE CVA'!$AB$38)*1</f>
        <v>153.95741395122897</v>
      </c>
      <c r="AB286" s="4">
        <f>$K$286*$V$286</f>
        <v>0</v>
      </c>
      <c r="AC286" s="4">
        <f>$M$286*$W$286</f>
        <v>23338.365440000001</v>
      </c>
      <c r="AD286" s="4">
        <f>$O$286*$X$286</f>
        <v>8099.2550400000009</v>
      </c>
      <c r="AE286" s="4">
        <f>$K$286*$Y$286</f>
        <v>0</v>
      </c>
      <c r="AF286" s="4">
        <f ca="1">$M$286*$Z$286</f>
        <v>25968.684176709165</v>
      </c>
      <c r="AG286" s="4">
        <f>$O$286*$AA$286</f>
        <v>7547.6082615450496</v>
      </c>
    </row>
    <row r="287" spans="1:33" ht="11.25" customHeight="1" x14ac:dyDescent="0.25">
      <c r="A287" s="3" t="s">
        <v>21</v>
      </c>
      <c r="B287" s="3" t="s">
        <v>33</v>
      </c>
      <c r="C287" s="3" t="s">
        <v>23</v>
      </c>
      <c r="D287" s="3" t="s">
        <v>34</v>
      </c>
      <c r="E287" s="3" t="s">
        <v>25</v>
      </c>
      <c r="F287" s="3" t="s">
        <v>25</v>
      </c>
      <c r="G287" s="3" t="s">
        <v>25</v>
      </c>
      <c r="H287" s="3" t="s">
        <v>25</v>
      </c>
      <c r="I287" s="6">
        <v>44470</v>
      </c>
      <c r="J287" s="4">
        <v>0</v>
      </c>
      <c r="K287" s="4">
        <v>0</v>
      </c>
      <c r="L287" s="4">
        <v>58.487000000000002</v>
      </c>
      <c r="M287" s="4">
        <v>58.487000000000002</v>
      </c>
      <c r="N287" s="4">
        <v>58.487000000000002</v>
      </c>
      <c r="O287" s="4">
        <v>58.487000000000002</v>
      </c>
      <c r="P287" s="4">
        <v>59</v>
      </c>
      <c r="Q287" s="3" t="s">
        <v>26</v>
      </c>
      <c r="R287" s="3">
        <v>0</v>
      </c>
      <c r="S287" s="4">
        <v>0</v>
      </c>
      <c r="T287" s="4">
        <v>50</v>
      </c>
      <c r="U287" s="4">
        <v>83</v>
      </c>
      <c r="V287" s="4">
        <f>IF(ISERROR(VLOOKUP($S$287,'TAR FIN'!$A$1:$O$88,15,0)),0,VLOOKUP($S$287,'TAR FIN'!$A$1:$O$88,15,0))</f>
        <v>0</v>
      </c>
      <c r="W287" s="4">
        <f>IF(ISERROR(VLOOKUP($T$287,'TAR FIN'!$A$1:$O$88,15,0)),0,VLOOKUP($T$287,'TAR FIN'!$A$1:$O$88,15,0))</f>
        <v>476.06</v>
      </c>
      <c r="X287" s="4">
        <f>IF(ISERROR(VLOOKUP($U$287,'TAR FIN'!$A$1:$O$88,15,0)),0,VLOOKUP($U$287,'TAR FIN'!$A$1:$O$88,15,0))</f>
        <v>165.21</v>
      </c>
      <c r="Y287" s="4"/>
      <c r="Z287" s="4">
        <f ca="1">('TUSD BE'!$AM$48+'TUSD BF'!$AM$48+'TUSD CVA'!$AM$48)*1</f>
        <v>529.7136948578077</v>
      </c>
      <c r="AA287" s="4">
        <f>('TE BE'!$AB$38+'TE BF'!$AB$38+'TE CVA'!$AB$38)*1</f>
        <v>153.95741395122897</v>
      </c>
      <c r="AB287" s="4">
        <f>$K$287*$V$287</f>
        <v>0</v>
      </c>
      <c r="AC287" s="4">
        <f>$M$287*$W$287</f>
        <v>27843.321220000002</v>
      </c>
      <c r="AD287" s="4">
        <f>$O$287*$X$287</f>
        <v>9662.6372700000011</v>
      </c>
      <c r="AE287" s="4">
        <f>$K$287*$Y$287</f>
        <v>0</v>
      </c>
      <c r="AF287" s="4">
        <f ca="1">$M$287*$Z$287</f>
        <v>30981.364871148598</v>
      </c>
      <c r="AG287" s="4">
        <f>$O$287*$AA$287</f>
        <v>9004.5072697655287</v>
      </c>
    </row>
    <row r="288" spans="1:33" ht="11.25" customHeight="1" x14ac:dyDescent="0.25">
      <c r="A288" s="3" t="s">
        <v>28</v>
      </c>
      <c r="B288" s="3" t="s">
        <v>33</v>
      </c>
      <c r="C288" s="3" t="s">
        <v>23</v>
      </c>
      <c r="D288" s="3" t="s">
        <v>34</v>
      </c>
      <c r="E288" s="3" t="s">
        <v>25</v>
      </c>
      <c r="F288" s="3" t="s">
        <v>25</v>
      </c>
      <c r="G288" s="3" t="s">
        <v>25</v>
      </c>
      <c r="H288" s="3" t="s">
        <v>25</v>
      </c>
      <c r="I288" s="6">
        <v>44470</v>
      </c>
      <c r="J288" s="4">
        <v>0</v>
      </c>
      <c r="K288" s="4">
        <v>0</v>
      </c>
      <c r="L288" s="4">
        <v>39.283000000000001</v>
      </c>
      <c r="M288" s="4">
        <v>39.283000000000001</v>
      </c>
      <c r="N288" s="4">
        <v>39.283000000000001</v>
      </c>
      <c r="O288" s="4">
        <v>39.283000000000001</v>
      </c>
      <c r="P288" s="4">
        <v>9</v>
      </c>
      <c r="Q288" s="3" t="s">
        <v>26</v>
      </c>
      <c r="R288" s="3">
        <v>0</v>
      </c>
      <c r="S288" s="4">
        <v>0</v>
      </c>
      <c r="T288" s="4">
        <v>50</v>
      </c>
      <c r="U288" s="4">
        <v>83</v>
      </c>
      <c r="V288" s="4">
        <f>IF(ISERROR(VLOOKUP($S$288,'TAR FIN'!$A$1:$O$88,15,0)),0,VLOOKUP($S$288,'TAR FIN'!$A$1:$O$88,15,0))</f>
        <v>0</v>
      </c>
      <c r="W288" s="4">
        <f>IF(ISERROR(VLOOKUP($T$288,'TAR FIN'!$A$1:$O$88,15,0)),0,VLOOKUP($T$288,'TAR FIN'!$A$1:$O$88,15,0))</f>
        <v>476.06</v>
      </c>
      <c r="X288" s="4">
        <f>IF(ISERROR(VLOOKUP($U$288,'TAR FIN'!$A$1:$O$88,15,0)),0,VLOOKUP($U$288,'TAR FIN'!$A$1:$O$88,15,0))</f>
        <v>165.21</v>
      </c>
      <c r="Y288" s="4"/>
      <c r="Z288" s="4">
        <f ca="1">('TUSD BE'!$AM$48+'TUSD BF'!$AM$48+'TUSD CVA'!$AM$48)*1</f>
        <v>529.7136948578077</v>
      </c>
      <c r="AA288" s="4">
        <f>('TE BE'!$AB$38+'TE BF'!$AB$38+'TE CVA'!$AB$38)*1</f>
        <v>153.95741395122897</v>
      </c>
      <c r="AB288" s="4">
        <f>$K$288*$V$288</f>
        <v>0</v>
      </c>
      <c r="AC288" s="4">
        <f>$M$288*$W$288</f>
        <v>18701.064979999999</v>
      </c>
      <c r="AD288" s="4">
        <f>$O$288*$X$288</f>
        <v>6489.9444300000005</v>
      </c>
      <c r="AE288" s="4">
        <f>$K$288*$Y$288</f>
        <v>0</v>
      </c>
      <c r="AF288" s="4">
        <f ca="1">$M$288*$Z$288</f>
        <v>20808.743075099261</v>
      </c>
      <c r="AG288" s="4">
        <f>$O$288*$AA$288</f>
        <v>6047.9090922461282</v>
      </c>
    </row>
    <row r="289" spans="1:33" ht="11.25" customHeight="1" x14ac:dyDescent="0.25">
      <c r="A289" s="3" t="s">
        <v>21</v>
      </c>
      <c r="B289" s="3" t="s">
        <v>33</v>
      </c>
      <c r="C289" s="3" t="s">
        <v>23</v>
      </c>
      <c r="D289" s="3" t="s">
        <v>34</v>
      </c>
      <c r="E289" s="3" t="s">
        <v>25</v>
      </c>
      <c r="F289" s="3" t="s">
        <v>25</v>
      </c>
      <c r="G289" s="3" t="s">
        <v>25</v>
      </c>
      <c r="H289" s="3" t="s">
        <v>25</v>
      </c>
      <c r="I289" s="6">
        <v>44501</v>
      </c>
      <c r="J289" s="4">
        <v>0</v>
      </c>
      <c r="K289" s="4">
        <v>0</v>
      </c>
      <c r="L289" s="4">
        <v>64.322000000000003</v>
      </c>
      <c r="M289" s="4">
        <v>64.322000000000003</v>
      </c>
      <c r="N289" s="4">
        <v>64.322000000000003</v>
      </c>
      <c r="O289" s="4">
        <v>64.322000000000003</v>
      </c>
      <c r="P289" s="4">
        <v>57</v>
      </c>
      <c r="Q289" s="3" t="s">
        <v>26</v>
      </c>
      <c r="R289" s="3">
        <v>0</v>
      </c>
      <c r="S289" s="4">
        <v>0</v>
      </c>
      <c r="T289" s="4">
        <v>50</v>
      </c>
      <c r="U289" s="4">
        <v>83</v>
      </c>
      <c r="V289" s="4">
        <f>IF(ISERROR(VLOOKUP($S$289,'TAR FIN'!$A$1:$O$88,15,0)),0,VLOOKUP($S$289,'TAR FIN'!$A$1:$O$88,15,0))</f>
        <v>0</v>
      </c>
      <c r="W289" s="4">
        <f>IF(ISERROR(VLOOKUP($T$289,'TAR FIN'!$A$1:$O$88,15,0)),0,VLOOKUP($T$289,'TAR FIN'!$A$1:$O$88,15,0))</f>
        <v>476.06</v>
      </c>
      <c r="X289" s="4">
        <f>IF(ISERROR(VLOOKUP($U$289,'TAR FIN'!$A$1:$O$88,15,0)),0,VLOOKUP($U$289,'TAR FIN'!$A$1:$O$88,15,0))</f>
        <v>165.21</v>
      </c>
      <c r="Y289" s="4"/>
      <c r="Z289" s="4">
        <f ca="1">('TUSD BE'!$AM$48+'TUSD BF'!$AM$48+'TUSD CVA'!$AM$48)*1</f>
        <v>529.7136948578077</v>
      </c>
      <c r="AA289" s="4">
        <f>('TE BE'!$AB$38+'TE BF'!$AB$38+'TE CVA'!$AB$38)*1</f>
        <v>153.95741395122897</v>
      </c>
      <c r="AB289" s="4">
        <f>$K$289*$V$289</f>
        <v>0</v>
      </c>
      <c r="AC289" s="4">
        <f>$M$289*$W$289</f>
        <v>30621.13132</v>
      </c>
      <c r="AD289" s="4">
        <f>$O$289*$X$289</f>
        <v>10626.637620000001</v>
      </c>
      <c r="AE289" s="4">
        <f>$K$289*$Y$289</f>
        <v>0</v>
      </c>
      <c r="AF289" s="4">
        <f ca="1">$M$289*$Z$289</f>
        <v>34072.244280643907</v>
      </c>
      <c r="AG289" s="4">
        <f>$O$289*$AA$289</f>
        <v>9902.8487801709507</v>
      </c>
    </row>
    <row r="290" spans="1:33" ht="11.25" customHeight="1" x14ac:dyDescent="0.25">
      <c r="A290" s="3" t="s">
        <v>28</v>
      </c>
      <c r="B290" s="3" t="s">
        <v>33</v>
      </c>
      <c r="C290" s="3" t="s">
        <v>23</v>
      </c>
      <c r="D290" s="3" t="s">
        <v>34</v>
      </c>
      <c r="E290" s="3" t="s">
        <v>25</v>
      </c>
      <c r="F290" s="3" t="s">
        <v>25</v>
      </c>
      <c r="G290" s="3" t="s">
        <v>25</v>
      </c>
      <c r="H290" s="3" t="s">
        <v>25</v>
      </c>
      <c r="I290" s="6">
        <v>44501</v>
      </c>
      <c r="J290" s="4">
        <v>0</v>
      </c>
      <c r="K290" s="4">
        <v>0</v>
      </c>
      <c r="L290" s="4">
        <v>27.760999999999999</v>
      </c>
      <c r="M290" s="4">
        <v>27.760999999999999</v>
      </c>
      <c r="N290" s="4">
        <v>27.760999999999999</v>
      </c>
      <c r="O290" s="4">
        <v>27.760999999999999</v>
      </c>
      <c r="P290" s="4">
        <v>11</v>
      </c>
      <c r="Q290" s="3" t="s">
        <v>26</v>
      </c>
      <c r="R290" s="3">
        <v>0</v>
      </c>
      <c r="S290" s="4">
        <v>0</v>
      </c>
      <c r="T290" s="4">
        <v>50</v>
      </c>
      <c r="U290" s="4">
        <v>83</v>
      </c>
      <c r="V290" s="4">
        <f>IF(ISERROR(VLOOKUP($S$290,'TAR FIN'!$A$1:$O$88,15,0)),0,VLOOKUP($S$290,'TAR FIN'!$A$1:$O$88,15,0))</f>
        <v>0</v>
      </c>
      <c r="W290" s="4">
        <f>IF(ISERROR(VLOOKUP($T$290,'TAR FIN'!$A$1:$O$88,15,0)),0,VLOOKUP($T$290,'TAR FIN'!$A$1:$O$88,15,0))</f>
        <v>476.06</v>
      </c>
      <c r="X290" s="4">
        <f>IF(ISERROR(VLOOKUP($U$290,'TAR FIN'!$A$1:$O$88,15,0)),0,VLOOKUP($U$290,'TAR FIN'!$A$1:$O$88,15,0))</f>
        <v>165.21</v>
      </c>
      <c r="Y290" s="4"/>
      <c r="Z290" s="4">
        <f ca="1">('TUSD BE'!$AM$48+'TUSD BF'!$AM$48+'TUSD CVA'!$AM$48)*1</f>
        <v>529.7136948578077</v>
      </c>
      <c r="AA290" s="4">
        <f>('TE BE'!$AB$38+'TE BF'!$AB$38+'TE CVA'!$AB$38)*1</f>
        <v>153.95741395122897</v>
      </c>
      <c r="AB290" s="4">
        <f>$K$290*$V$290</f>
        <v>0</v>
      </c>
      <c r="AC290" s="4">
        <f>$M$290*$W$290</f>
        <v>13215.90166</v>
      </c>
      <c r="AD290" s="4">
        <f>$O$290*$X$290</f>
        <v>4586.3948099999998</v>
      </c>
      <c r="AE290" s="4">
        <f>$K$290*$Y$290</f>
        <v>0</v>
      </c>
      <c r="AF290" s="4">
        <f ca="1">$M$290*$Z$290</f>
        <v>14705.381882947599</v>
      </c>
      <c r="AG290" s="4">
        <f>$O$290*$AA$290</f>
        <v>4274.0117687000675</v>
      </c>
    </row>
    <row r="291" spans="1:33" ht="11.25" customHeight="1" x14ac:dyDescent="0.25">
      <c r="A291" s="3" t="s">
        <v>21</v>
      </c>
      <c r="B291" s="3" t="s">
        <v>33</v>
      </c>
      <c r="C291" s="3" t="s">
        <v>23</v>
      </c>
      <c r="D291" s="3" t="s">
        <v>34</v>
      </c>
      <c r="E291" s="3" t="s">
        <v>25</v>
      </c>
      <c r="F291" s="3" t="s">
        <v>25</v>
      </c>
      <c r="G291" s="3" t="s">
        <v>25</v>
      </c>
      <c r="H291" s="3" t="s">
        <v>25</v>
      </c>
      <c r="I291" s="6">
        <v>44531</v>
      </c>
      <c r="J291" s="4">
        <v>0</v>
      </c>
      <c r="K291" s="4">
        <v>0</v>
      </c>
      <c r="L291" s="4">
        <v>65.789000000000001</v>
      </c>
      <c r="M291" s="4">
        <v>65.789000000000001</v>
      </c>
      <c r="N291" s="4">
        <v>65.789000000000001</v>
      </c>
      <c r="O291" s="4">
        <v>65.789000000000001</v>
      </c>
      <c r="P291" s="4">
        <v>57</v>
      </c>
      <c r="Q291" s="3" t="s">
        <v>26</v>
      </c>
      <c r="R291" s="3">
        <v>0</v>
      </c>
      <c r="S291" s="4">
        <v>0</v>
      </c>
      <c r="T291" s="4">
        <v>50</v>
      </c>
      <c r="U291" s="4">
        <v>83</v>
      </c>
      <c r="V291" s="4">
        <f>IF(ISERROR(VLOOKUP($S$291,'TAR FIN'!$A$1:$O$88,15,0)),0,VLOOKUP($S$291,'TAR FIN'!$A$1:$O$88,15,0))</f>
        <v>0</v>
      </c>
      <c r="W291" s="4">
        <f>IF(ISERROR(VLOOKUP($T$291,'TAR FIN'!$A$1:$O$88,15,0)),0,VLOOKUP($T$291,'TAR FIN'!$A$1:$O$88,15,0))</f>
        <v>476.06</v>
      </c>
      <c r="X291" s="4">
        <f>IF(ISERROR(VLOOKUP($U$291,'TAR FIN'!$A$1:$O$88,15,0)),0,VLOOKUP($U$291,'TAR FIN'!$A$1:$O$88,15,0))</f>
        <v>165.21</v>
      </c>
      <c r="Y291" s="4"/>
      <c r="Z291" s="4">
        <f ca="1">('TUSD BE'!$AM$48+'TUSD BF'!$AM$48+'TUSD CVA'!$AM$48)*1</f>
        <v>529.7136948578077</v>
      </c>
      <c r="AA291" s="4">
        <f>('TE BE'!$AB$38+'TE BF'!$AB$38+'TE CVA'!$AB$38)*1</f>
        <v>153.95741395122897</v>
      </c>
      <c r="AB291" s="4">
        <f>$K$291*$V$291</f>
        <v>0</v>
      </c>
      <c r="AC291" s="4">
        <f>$M$291*$W$291</f>
        <v>31319.511340000001</v>
      </c>
      <c r="AD291" s="4">
        <f>$O$291*$X$291</f>
        <v>10869.000690000001</v>
      </c>
      <c r="AE291" s="4">
        <f>$K$291*$Y$291</f>
        <v>0</v>
      </c>
      <c r="AF291" s="4">
        <f ca="1">$M$291*$Z$291</f>
        <v>34849.334271000313</v>
      </c>
      <c r="AG291" s="4">
        <f>$O$291*$AA$291</f>
        <v>10128.704306437403</v>
      </c>
    </row>
    <row r="292" spans="1:33" ht="11.25" customHeight="1" x14ac:dyDescent="0.25">
      <c r="A292" s="3" t="s">
        <v>28</v>
      </c>
      <c r="B292" s="3" t="s">
        <v>33</v>
      </c>
      <c r="C292" s="3" t="s">
        <v>23</v>
      </c>
      <c r="D292" s="3" t="s">
        <v>34</v>
      </c>
      <c r="E292" s="3" t="s">
        <v>25</v>
      </c>
      <c r="F292" s="3" t="s">
        <v>25</v>
      </c>
      <c r="G292" s="3" t="s">
        <v>25</v>
      </c>
      <c r="H292" s="3" t="s">
        <v>25</v>
      </c>
      <c r="I292" s="6">
        <v>44531</v>
      </c>
      <c r="J292" s="4">
        <v>0</v>
      </c>
      <c r="K292" s="4">
        <v>0</v>
      </c>
      <c r="L292" s="4">
        <v>21.628</v>
      </c>
      <c r="M292" s="4">
        <v>21.628</v>
      </c>
      <c r="N292" s="4">
        <v>21.628</v>
      </c>
      <c r="O292" s="4">
        <v>21.628</v>
      </c>
      <c r="P292" s="4">
        <v>11</v>
      </c>
      <c r="Q292" s="3" t="s">
        <v>26</v>
      </c>
      <c r="R292" s="3">
        <v>0</v>
      </c>
      <c r="S292" s="4">
        <v>0</v>
      </c>
      <c r="T292" s="4">
        <v>50</v>
      </c>
      <c r="U292" s="4">
        <v>83</v>
      </c>
      <c r="V292" s="4">
        <f>IF(ISERROR(VLOOKUP($S$292,'TAR FIN'!$A$1:$O$88,15,0)),0,VLOOKUP($S$292,'TAR FIN'!$A$1:$O$88,15,0))</f>
        <v>0</v>
      </c>
      <c r="W292" s="4">
        <f>IF(ISERROR(VLOOKUP($T$292,'TAR FIN'!$A$1:$O$88,15,0)),0,VLOOKUP($T$292,'TAR FIN'!$A$1:$O$88,15,0))</f>
        <v>476.06</v>
      </c>
      <c r="X292" s="4">
        <f>IF(ISERROR(VLOOKUP($U$292,'TAR FIN'!$A$1:$O$88,15,0)),0,VLOOKUP($U$292,'TAR FIN'!$A$1:$O$88,15,0))</f>
        <v>165.21</v>
      </c>
      <c r="Y292" s="4"/>
      <c r="Z292" s="4">
        <f ca="1">('TUSD BE'!$AM$48+'TUSD BF'!$AM$48+'TUSD CVA'!$AM$48)*1</f>
        <v>529.7136948578077</v>
      </c>
      <c r="AA292" s="4">
        <f>('TE BE'!$AB$38+'TE BF'!$AB$38+'TE CVA'!$AB$38)*1</f>
        <v>153.95741395122897</v>
      </c>
      <c r="AB292" s="4">
        <f>$K$292*$V$292</f>
        <v>0</v>
      </c>
      <c r="AC292" s="4">
        <f>$M$292*$W$292</f>
        <v>10296.22568</v>
      </c>
      <c r="AD292" s="4">
        <f>$O$292*$X$292</f>
        <v>3573.1618800000001</v>
      </c>
      <c r="AE292" s="4">
        <f>$K$292*$Y$292</f>
        <v>0</v>
      </c>
      <c r="AF292" s="4">
        <f ca="1">$M$292*$Z$292</f>
        <v>11456.647792384665</v>
      </c>
      <c r="AG292" s="4">
        <f>$O$292*$AA$292</f>
        <v>3329.79094893718</v>
      </c>
    </row>
    <row r="293" spans="1:33" ht="11.25" customHeight="1" x14ac:dyDescent="0.25">
      <c r="A293" s="3" t="s">
        <v>21</v>
      </c>
      <c r="B293" s="3" t="s">
        <v>33</v>
      </c>
      <c r="C293" s="3" t="s">
        <v>23</v>
      </c>
      <c r="D293" s="3" t="s">
        <v>34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44562</v>
      </c>
      <c r="J293" s="4">
        <v>0</v>
      </c>
      <c r="K293" s="4">
        <v>0</v>
      </c>
      <c r="L293" s="4">
        <v>63.960999999999999</v>
      </c>
      <c r="M293" s="4">
        <v>63.960999999999999</v>
      </c>
      <c r="N293" s="4">
        <v>63.960999999999999</v>
      </c>
      <c r="O293" s="4">
        <v>63.960999999999999</v>
      </c>
      <c r="P293" s="4">
        <v>57</v>
      </c>
      <c r="Q293" s="3" t="s">
        <v>26</v>
      </c>
      <c r="R293" s="3">
        <v>0</v>
      </c>
      <c r="S293" s="4">
        <v>0</v>
      </c>
      <c r="T293" s="4">
        <v>50</v>
      </c>
      <c r="U293" s="4">
        <v>83</v>
      </c>
      <c r="V293" s="4">
        <f>IF(ISERROR(VLOOKUP($S$293,'TAR FIN'!$A$1:$O$88,15,0)),0,VLOOKUP($S$293,'TAR FIN'!$A$1:$O$88,15,0))</f>
        <v>0</v>
      </c>
      <c r="W293" s="4">
        <f>IF(ISERROR(VLOOKUP($T$293,'TAR FIN'!$A$1:$O$88,15,0)),0,VLOOKUP($T$293,'TAR FIN'!$A$1:$O$88,15,0))</f>
        <v>476.06</v>
      </c>
      <c r="X293" s="4">
        <f>IF(ISERROR(VLOOKUP($U$293,'TAR FIN'!$A$1:$O$88,15,0)),0,VLOOKUP($U$293,'TAR FIN'!$A$1:$O$88,15,0))</f>
        <v>165.21</v>
      </c>
      <c r="Y293" s="4"/>
      <c r="Z293" s="4">
        <f ca="1">('TUSD BE'!$AM$48+'TUSD BF'!$AM$48+'TUSD CVA'!$AM$48)*1</f>
        <v>529.7136948578077</v>
      </c>
      <c r="AA293" s="4">
        <f>('TE BE'!$AB$38+'TE BF'!$AB$38+'TE CVA'!$AB$38)*1</f>
        <v>153.95741395122897</v>
      </c>
      <c r="AB293" s="4">
        <f>$K$293*$V$293</f>
        <v>0</v>
      </c>
      <c r="AC293" s="4">
        <f>$M$293*$W$293</f>
        <v>30449.273659999999</v>
      </c>
      <c r="AD293" s="4">
        <f>$O$293*$X$293</f>
        <v>10566.996810000001</v>
      </c>
      <c r="AE293" s="4">
        <f>$K$293*$Y$293</f>
        <v>0</v>
      </c>
      <c r="AF293" s="4">
        <f ca="1">$M$293*$Z$293</f>
        <v>33881.017636800236</v>
      </c>
      <c r="AG293" s="4">
        <f>$O$293*$AA$293</f>
        <v>9847.2701537345565</v>
      </c>
    </row>
    <row r="294" spans="1:33" ht="11.25" customHeight="1" x14ac:dyDescent="0.25">
      <c r="A294" s="3" t="s">
        <v>28</v>
      </c>
      <c r="B294" s="3" t="s">
        <v>33</v>
      </c>
      <c r="C294" s="3" t="s">
        <v>23</v>
      </c>
      <c r="D294" s="3" t="s">
        <v>34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44562</v>
      </c>
      <c r="J294" s="4">
        <v>0</v>
      </c>
      <c r="K294" s="4">
        <v>0</v>
      </c>
      <c r="L294" s="4">
        <v>2.7559999999999998</v>
      </c>
      <c r="M294" s="4">
        <v>2.7559999999999998</v>
      </c>
      <c r="N294" s="4">
        <v>2.7559999999999998</v>
      </c>
      <c r="O294" s="4">
        <v>2.7559999999999998</v>
      </c>
      <c r="P294" s="4">
        <v>11</v>
      </c>
      <c r="Q294" s="3" t="s">
        <v>26</v>
      </c>
      <c r="R294" s="3">
        <v>0</v>
      </c>
      <c r="S294" s="4">
        <v>0</v>
      </c>
      <c r="T294" s="4">
        <v>50</v>
      </c>
      <c r="U294" s="4">
        <v>83</v>
      </c>
      <c r="V294" s="4">
        <f>IF(ISERROR(VLOOKUP($S$294,'TAR FIN'!$A$1:$O$88,15,0)),0,VLOOKUP($S$294,'TAR FIN'!$A$1:$O$88,15,0))</f>
        <v>0</v>
      </c>
      <c r="W294" s="4">
        <f>IF(ISERROR(VLOOKUP($T$294,'TAR FIN'!$A$1:$O$88,15,0)),0,VLOOKUP($T$294,'TAR FIN'!$A$1:$O$88,15,0))</f>
        <v>476.06</v>
      </c>
      <c r="X294" s="4">
        <f>IF(ISERROR(VLOOKUP($U$294,'TAR FIN'!$A$1:$O$88,15,0)),0,VLOOKUP($U$294,'TAR FIN'!$A$1:$O$88,15,0))</f>
        <v>165.21</v>
      </c>
      <c r="Y294" s="4"/>
      <c r="Z294" s="4">
        <f ca="1">('TUSD BE'!$AM$48+'TUSD BF'!$AM$48+'TUSD CVA'!$AM$48)*1</f>
        <v>529.7136948578077</v>
      </c>
      <c r="AA294" s="4">
        <f>('TE BE'!$AB$38+'TE BF'!$AB$38+'TE CVA'!$AB$38)*1</f>
        <v>153.95741395122897</v>
      </c>
      <c r="AB294" s="4">
        <f>$K$294*$V$294</f>
        <v>0</v>
      </c>
      <c r="AC294" s="4">
        <f>$M$294*$W$294</f>
        <v>1312.02136</v>
      </c>
      <c r="AD294" s="4">
        <f>$O$294*$X$294</f>
        <v>455.31876</v>
      </c>
      <c r="AE294" s="4">
        <f>$K$294*$Y$294</f>
        <v>0</v>
      </c>
      <c r="AF294" s="4">
        <f ca="1">$M$294*$Z$294</f>
        <v>1459.8909430281178</v>
      </c>
      <c r="AG294" s="4">
        <f>$O$294*$AA$294</f>
        <v>424.306632849587</v>
      </c>
    </row>
    <row r="295" spans="1:33" ht="11.25" customHeight="1" x14ac:dyDescent="0.25">
      <c r="A295" s="3" t="s">
        <v>21</v>
      </c>
      <c r="B295" s="3" t="s">
        <v>33</v>
      </c>
      <c r="C295" s="3" t="s">
        <v>23</v>
      </c>
      <c r="D295" s="3" t="s">
        <v>34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44593</v>
      </c>
      <c r="J295" s="4">
        <v>0</v>
      </c>
      <c r="K295" s="4">
        <v>0</v>
      </c>
      <c r="L295" s="4">
        <v>72.070999999999998</v>
      </c>
      <c r="M295" s="4">
        <v>72.070999999999998</v>
      </c>
      <c r="N295" s="4">
        <v>72.070999999999998</v>
      </c>
      <c r="O295" s="4">
        <v>72.070999999999998</v>
      </c>
      <c r="P295" s="4">
        <v>56</v>
      </c>
      <c r="Q295" s="3" t="s">
        <v>26</v>
      </c>
      <c r="R295" s="3">
        <v>0</v>
      </c>
      <c r="S295" s="4">
        <v>0</v>
      </c>
      <c r="T295" s="4">
        <v>50</v>
      </c>
      <c r="U295" s="4">
        <v>83</v>
      </c>
      <c r="V295" s="4">
        <f>IF(ISERROR(VLOOKUP($S$295,'TAR FIN'!$A$1:$O$88,15,0)),0,VLOOKUP($S$295,'TAR FIN'!$A$1:$O$88,15,0))</f>
        <v>0</v>
      </c>
      <c r="W295" s="4">
        <f>IF(ISERROR(VLOOKUP($T$295,'TAR FIN'!$A$1:$O$88,15,0)),0,VLOOKUP($T$295,'TAR FIN'!$A$1:$O$88,15,0))</f>
        <v>476.06</v>
      </c>
      <c r="X295" s="4">
        <f>IF(ISERROR(VLOOKUP($U$295,'TAR FIN'!$A$1:$O$88,15,0)),0,VLOOKUP($U$295,'TAR FIN'!$A$1:$O$88,15,0))</f>
        <v>165.21</v>
      </c>
      <c r="Y295" s="4"/>
      <c r="Z295" s="4">
        <f ca="1">('TUSD BE'!$AM$48+'TUSD BF'!$AM$48+'TUSD CVA'!$AM$48)*1</f>
        <v>529.7136948578077</v>
      </c>
      <c r="AA295" s="4">
        <f>('TE BE'!$AB$38+'TE BF'!$AB$38+'TE CVA'!$AB$38)*1</f>
        <v>153.95741395122897</v>
      </c>
      <c r="AB295" s="4">
        <f>$K$295*$V$295</f>
        <v>0</v>
      </c>
      <c r="AC295" s="4">
        <f>$M$295*$W$295</f>
        <v>34310.120259999996</v>
      </c>
      <c r="AD295" s="4">
        <f>$O$295*$X$295</f>
        <v>11906.849910000001</v>
      </c>
      <c r="AE295" s="4">
        <f>$K$295*$Y$295</f>
        <v>0</v>
      </c>
      <c r="AF295" s="4">
        <f ca="1">$M$295*$Z$295</f>
        <v>38176.995702097054</v>
      </c>
      <c r="AG295" s="4">
        <f>$O$295*$AA$295</f>
        <v>11095.864780879023</v>
      </c>
    </row>
    <row r="296" spans="1:33" ht="11.25" customHeight="1" x14ac:dyDescent="0.25">
      <c r="A296" s="3" t="s">
        <v>28</v>
      </c>
      <c r="B296" s="3" t="s">
        <v>33</v>
      </c>
      <c r="C296" s="3" t="s">
        <v>23</v>
      </c>
      <c r="D296" s="3" t="s">
        <v>34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44593</v>
      </c>
      <c r="J296" s="4">
        <v>0</v>
      </c>
      <c r="K296" s="4">
        <v>0</v>
      </c>
      <c r="L296" s="4">
        <v>43.009</v>
      </c>
      <c r="M296" s="4">
        <v>43.009</v>
      </c>
      <c r="N296" s="4">
        <v>43.009</v>
      </c>
      <c r="O296" s="4">
        <v>43.009</v>
      </c>
      <c r="P296" s="4">
        <v>11</v>
      </c>
      <c r="Q296" s="3" t="s">
        <v>26</v>
      </c>
      <c r="R296" s="3">
        <v>0</v>
      </c>
      <c r="S296" s="4">
        <v>0</v>
      </c>
      <c r="T296" s="4">
        <v>50</v>
      </c>
      <c r="U296" s="4">
        <v>83</v>
      </c>
      <c r="V296" s="4">
        <f>IF(ISERROR(VLOOKUP($S$296,'TAR FIN'!$A$1:$O$88,15,0)),0,VLOOKUP($S$296,'TAR FIN'!$A$1:$O$88,15,0))</f>
        <v>0</v>
      </c>
      <c r="W296" s="4">
        <f>IF(ISERROR(VLOOKUP($T$296,'TAR FIN'!$A$1:$O$88,15,0)),0,VLOOKUP($T$296,'TAR FIN'!$A$1:$O$88,15,0))</f>
        <v>476.06</v>
      </c>
      <c r="X296" s="4">
        <f>IF(ISERROR(VLOOKUP($U$296,'TAR FIN'!$A$1:$O$88,15,0)),0,VLOOKUP($U$296,'TAR FIN'!$A$1:$O$88,15,0))</f>
        <v>165.21</v>
      </c>
      <c r="Y296" s="4"/>
      <c r="Z296" s="4">
        <f ca="1">('TUSD BE'!$AM$48+'TUSD BF'!$AM$48+'TUSD CVA'!$AM$48)*1</f>
        <v>529.7136948578077</v>
      </c>
      <c r="AA296" s="4">
        <f>('TE BE'!$AB$38+'TE BF'!$AB$38+'TE CVA'!$AB$38)*1</f>
        <v>153.95741395122897</v>
      </c>
      <c r="AB296" s="4">
        <f>$K$296*$V$296</f>
        <v>0</v>
      </c>
      <c r="AC296" s="4">
        <f>$M$296*$W$296</f>
        <v>20474.864539999999</v>
      </c>
      <c r="AD296" s="4">
        <f>$O$296*$X$296</f>
        <v>7105.5168900000008</v>
      </c>
      <c r="AE296" s="4">
        <f>$K$296*$Y$296</f>
        <v>0</v>
      </c>
      <c r="AF296" s="4">
        <f ca="1">$M$296*$Z$296</f>
        <v>22782.45630213945</v>
      </c>
      <c r="AG296" s="4">
        <f>$O$296*$AA$296</f>
        <v>6621.5544166284071</v>
      </c>
    </row>
    <row r="297" spans="1:33" ht="11.25" customHeight="1" x14ac:dyDescent="0.25">
      <c r="A297" s="3" t="s">
        <v>21</v>
      </c>
      <c r="B297" s="3" t="s">
        <v>33</v>
      </c>
      <c r="C297" s="3" t="s">
        <v>23</v>
      </c>
      <c r="D297" s="3" t="s">
        <v>34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44621</v>
      </c>
      <c r="J297" s="4">
        <v>0</v>
      </c>
      <c r="K297" s="4">
        <v>0</v>
      </c>
      <c r="L297" s="4">
        <v>62.691000000000003</v>
      </c>
      <c r="M297" s="4">
        <v>62.691000000000003</v>
      </c>
      <c r="N297" s="4">
        <v>62.691000000000003</v>
      </c>
      <c r="O297" s="4">
        <v>62.691000000000003</v>
      </c>
      <c r="P297" s="4">
        <v>54</v>
      </c>
      <c r="Q297" s="3" t="s">
        <v>26</v>
      </c>
      <c r="R297" s="3">
        <v>0</v>
      </c>
      <c r="S297" s="4">
        <v>0</v>
      </c>
      <c r="T297" s="4">
        <v>50</v>
      </c>
      <c r="U297" s="4">
        <v>83</v>
      </c>
      <c r="V297" s="4">
        <f>IF(ISERROR(VLOOKUP($S$297,'TAR FIN'!$A$1:$O$88,15,0)),0,VLOOKUP($S$297,'TAR FIN'!$A$1:$O$88,15,0))</f>
        <v>0</v>
      </c>
      <c r="W297" s="4">
        <f>IF(ISERROR(VLOOKUP($T$297,'TAR FIN'!$A$1:$O$88,15,0)),0,VLOOKUP($T$297,'TAR FIN'!$A$1:$O$88,15,0))</f>
        <v>476.06</v>
      </c>
      <c r="X297" s="4">
        <f>IF(ISERROR(VLOOKUP($U$297,'TAR FIN'!$A$1:$O$88,15,0)),0,VLOOKUP($U$297,'TAR FIN'!$A$1:$O$88,15,0))</f>
        <v>165.21</v>
      </c>
      <c r="Y297" s="4"/>
      <c r="Z297" s="4">
        <f ca="1">('TUSD BE'!$AM$48+'TUSD BF'!$AM$48+'TUSD CVA'!$AM$48)*1</f>
        <v>529.7136948578077</v>
      </c>
      <c r="AA297" s="4">
        <f>('TE BE'!$AB$38+'TE BF'!$AB$38+'TE CVA'!$AB$38)*1</f>
        <v>153.95741395122897</v>
      </c>
      <c r="AB297" s="4">
        <f>$K$297*$V$297</f>
        <v>0</v>
      </c>
      <c r="AC297" s="4">
        <f>$M$297*$W$297</f>
        <v>29844.677460000003</v>
      </c>
      <c r="AD297" s="4">
        <f>$O$297*$X$297</f>
        <v>10357.180110000001</v>
      </c>
      <c r="AE297" s="4">
        <f>$K$297*$Y$297</f>
        <v>0</v>
      </c>
      <c r="AF297" s="4">
        <f ca="1">$M$297*$Z$297</f>
        <v>33208.281244330821</v>
      </c>
      <c r="AG297" s="4">
        <f>$O$297*$AA$297</f>
        <v>9651.7442380164957</v>
      </c>
    </row>
    <row r="298" spans="1:33" ht="11.25" customHeight="1" x14ac:dyDescent="0.25">
      <c r="A298" s="3" t="s">
        <v>28</v>
      </c>
      <c r="B298" s="3" t="s">
        <v>33</v>
      </c>
      <c r="C298" s="3" t="s">
        <v>23</v>
      </c>
      <c r="D298" s="3" t="s">
        <v>34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44621</v>
      </c>
      <c r="J298" s="4">
        <v>0</v>
      </c>
      <c r="K298" s="4">
        <v>0</v>
      </c>
      <c r="L298" s="4">
        <v>39.142000000000003</v>
      </c>
      <c r="M298" s="4">
        <v>39.142000000000003</v>
      </c>
      <c r="N298" s="4">
        <v>39.142000000000003</v>
      </c>
      <c r="O298" s="4">
        <v>39.142000000000003</v>
      </c>
      <c r="P298" s="4">
        <v>13</v>
      </c>
      <c r="Q298" s="3" t="s">
        <v>26</v>
      </c>
      <c r="R298" s="3">
        <v>0</v>
      </c>
      <c r="S298" s="4">
        <v>0</v>
      </c>
      <c r="T298" s="4">
        <v>50</v>
      </c>
      <c r="U298" s="4">
        <v>83</v>
      </c>
      <c r="V298" s="4">
        <f>IF(ISERROR(VLOOKUP($S$298,'TAR FIN'!$A$1:$O$88,15,0)),0,VLOOKUP($S$298,'TAR FIN'!$A$1:$O$88,15,0))</f>
        <v>0</v>
      </c>
      <c r="W298" s="4">
        <f>IF(ISERROR(VLOOKUP($T$298,'TAR FIN'!$A$1:$O$88,15,0)),0,VLOOKUP($T$298,'TAR FIN'!$A$1:$O$88,15,0))</f>
        <v>476.06</v>
      </c>
      <c r="X298" s="4">
        <f>IF(ISERROR(VLOOKUP($U$298,'TAR FIN'!$A$1:$O$88,15,0)),0,VLOOKUP($U$298,'TAR FIN'!$A$1:$O$88,15,0))</f>
        <v>165.21</v>
      </c>
      <c r="Y298" s="4"/>
      <c r="Z298" s="4">
        <f ca="1">('TUSD BE'!$AM$48+'TUSD BF'!$AM$48+'TUSD CVA'!$AM$48)*1</f>
        <v>529.7136948578077</v>
      </c>
      <c r="AA298" s="4">
        <f>('TE BE'!$AB$38+'TE BF'!$AB$38+'TE CVA'!$AB$38)*1</f>
        <v>153.95741395122897</v>
      </c>
      <c r="AB298" s="4">
        <f>$K$298*$V$298</f>
        <v>0</v>
      </c>
      <c r="AC298" s="4">
        <f>$M$298*$W$298</f>
        <v>18633.94052</v>
      </c>
      <c r="AD298" s="4">
        <f>$O$298*$X$298</f>
        <v>6466.6498200000005</v>
      </c>
      <c r="AE298" s="4">
        <f>$K$298*$Y$298</f>
        <v>0</v>
      </c>
      <c r="AF298" s="4">
        <f ca="1">$M$298*$Z$298</f>
        <v>20734.053444124311</v>
      </c>
      <c r="AG298" s="4">
        <f>$O$298*$AA$298</f>
        <v>6026.2010968790046</v>
      </c>
    </row>
    <row r="299" spans="1:33" ht="11.25" customHeight="1" x14ac:dyDescent="0.25">
      <c r="A299" s="3" t="s">
        <v>21</v>
      </c>
      <c r="B299" s="3" t="s">
        <v>33</v>
      </c>
      <c r="C299" s="3" t="s">
        <v>23</v>
      </c>
      <c r="D299" s="3" t="s">
        <v>34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44652</v>
      </c>
      <c r="J299" s="4">
        <v>0</v>
      </c>
      <c r="K299" s="4">
        <v>0</v>
      </c>
      <c r="L299" s="4">
        <v>56.44</v>
      </c>
      <c r="M299" s="4">
        <v>56.44</v>
      </c>
      <c r="N299" s="4">
        <v>56.44</v>
      </c>
      <c r="O299" s="4">
        <v>56.44</v>
      </c>
      <c r="P299" s="4">
        <v>54</v>
      </c>
      <c r="Q299" s="3" t="s">
        <v>26</v>
      </c>
      <c r="R299" s="3">
        <v>0</v>
      </c>
      <c r="S299" s="4">
        <v>0</v>
      </c>
      <c r="T299" s="4">
        <v>50</v>
      </c>
      <c r="U299" s="4">
        <v>83</v>
      </c>
      <c r="V299" s="4">
        <f>IF(ISERROR(VLOOKUP($S$299,'TAR FIN'!$A$1:$O$88,15,0)),0,VLOOKUP($S$299,'TAR FIN'!$A$1:$O$88,15,0))</f>
        <v>0</v>
      </c>
      <c r="W299" s="4">
        <f>IF(ISERROR(VLOOKUP($T$299,'TAR FIN'!$A$1:$O$88,15,0)),0,VLOOKUP($T$299,'TAR FIN'!$A$1:$O$88,15,0))</f>
        <v>476.06</v>
      </c>
      <c r="X299" s="4">
        <f>IF(ISERROR(VLOOKUP($U$299,'TAR FIN'!$A$1:$O$88,15,0)),0,VLOOKUP($U$299,'TAR FIN'!$A$1:$O$88,15,0))</f>
        <v>165.21</v>
      </c>
      <c r="Y299" s="4"/>
      <c r="Z299" s="4">
        <f ca="1">('TUSD BE'!$AM$48+'TUSD BF'!$AM$48+'TUSD CVA'!$AM$48)*1</f>
        <v>529.7136948578077</v>
      </c>
      <c r="AA299" s="4">
        <f>('TE BE'!$AB$38+'TE BF'!$AB$38+'TE CVA'!$AB$38)*1</f>
        <v>153.95741395122897</v>
      </c>
      <c r="AB299" s="4">
        <f>$K$299*$V$299</f>
        <v>0</v>
      </c>
      <c r="AC299" s="4">
        <f>$M$299*$W$299</f>
        <v>26868.826399999998</v>
      </c>
      <c r="AD299" s="4">
        <f>$O$299*$X$299</f>
        <v>9324.4524000000001</v>
      </c>
      <c r="AE299" s="4">
        <f>$K$299*$Y$299</f>
        <v>0</v>
      </c>
      <c r="AF299" s="4">
        <f ca="1">$M$299*$Z$299</f>
        <v>29897.040937774666</v>
      </c>
      <c r="AG299" s="4">
        <f>$O$299*$AA$299</f>
        <v>8689.3564434073633</v>
      </c>
    </row>
    <row r="300" spans="1:33" ht="11.25" customHeight="1" x14ac:dyDescent="0.25">
      <c r="A300" s="3" t="s">
        <v>28</v>
      </c>
      <c r="B300" s="3" t="s">
        <v>33</v>
      </c>
      <c r="C300" s="3" t="s">
        <v>23</v>
      </c>
      <c r="D300" s="3" t="s">
        <v>34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44652</v>
      </c>
      <c r="J300" s="4">
        <v>0</v>
      </c>
      <c r="K300" s="4">
        <v>0</v>
      </c>
      <c r="L300" s="4">
        <v>29.501999999999999</v>
      </c>
      <c r="M300" s="4">
        <v>29.501999999999999</v>
      </c>
      <c r="N300" s="4">
        <v>29.501999999999999</v>
      </c>
      <c r="O300" s="4">
        <v>29.501999999999999</v>
      </c>
      <c r="P300" s="4">
        <v>13</v>
      </c>
      <c r="Q300" s="3" t="s">
        <v>26</v>
      </c>
      <c r="R300" s="3">
        <v>0</v>
      </c>
      <c r="S300" s="4">
        <v>0</v>
      </c>
      <c r="T300" s="4">
        <v>50</v>
      </c>
      <c r="U300" s="4">
        <v>83</v>
      </c>
      <c r="V300" s="4">
        <f>IF(ISERROR(VLOOKUP($S$300,'TAR FIN'!$A$1:$O$88,15,0)),0,VLOOKUP($S$300,'TAR FIN'!$A$1:$O$88,15,0))</f>
        <v>0</v>
      </c>
      <c r="W300" s="4">
        <f>IF(ISERROR(VLOOKUP($T$300,'TAR FIN'!$A$1:$O$88,15,0)),0,VLOOKUP($T$300,'TAR FIN'!$A$1:$O$88,15,0))</f>
        <v>476.06</v>
      </c>
      <c r="X300" s="4">
        <f>IF(ISERROR(VLOOKUP($U$300,'TAR FIN'!$A$1:$O$88,15,0)),0,VLOOKUP($U$300,'TAR FIN'!$A$1:$O$88,15,0))</f>
        <v>165.21</v>
      </c>
      <c r="Y300" s="4"/>
      <c r="Z300" s="4">
        <f ca="1">('TUSD BE'!$AM$48+'TUSD BF'!$AM$48+'TUSD CVA'!$AM$48)*1</f>
        <v>529.7136948578077</v>
      </c>
      <c r="AA300" s="4">
        <f>('TE BE'!$AB$38+'TE BF'!$AB$38+'TE CVA'!$AB$38)*1</f>
        <v>153.95741395122897</v>
      </c>
      <c r="AB300" s="4">
        <f>$K$300*$V$300</f>
        <v>0</v>
      </c>
      <c r="AC300" s="4">
        <f>$M$300*$W$300</f>
        <v>14044.72212</v>
      </c>
      <c r="AD300" s="4">
        <f>$O$300*$X$300</f>
        <v>4874.0254199999999</v>
      </c>
      <c r="AE300" s="4">
        <f>$K$300*$Y$300</f>
        <v>0</v>
      </c>
      <c r="AF300" s="4">
        <f ca="1">$M$300*$Z$300</f>
        <v>15627.613425695043</v>
      </c>
      <c r="AG300" s="4">
        <f>$O$300*$AA$300</f>
        <v>4542.0516263891568</v>
      </c>
    </row>
    <row r="301" spans="1:33" ht="11.25" customHeight="1" x14ac:dyDescent="0.25">
      <c r="A301" s="3" t="s">
        <v>21</v>
      </c>
      <c r="B301" s="3" t="s">
        <v>33</v>
      </c>
      <c r="C301" s="3" t="s">
        <v>23</v>
      </c>
      <c r="D301" s="3" t="s">
        <v>34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44682</v>
      </c>
      <c r="J301" s="4">
        <v>0</v>
      </c>
      <c r="K301" s="4">
        <v>0</v>
      </c>
      <c r="L301" s="4">
        <v>58.268999999999998</v>
      </c>
      <c r="M301" s="4">
        <v>58.268999999999998</v>
      </c>
      <c r="N301" s="4">
        <v>58.268999999999998</v>
      </c>
      <c r="O301" s="4">
        <v>58.268999999999998</v>
      </c>
      <c r="P301" s="4">
        <v>55</v>
      </c>
      <c r="Q301" s="3" t="s">
        <v>26</v>
      </c>
      <c r="R301" s="3">
        <v>0</v>
      </c>
      <c r="S301" s="4">
        <v>0</v>
      </c>
      <c r="T301" s="4">
        <v>50</v>
      </c>
      <c r="U301" s="4">
        <v>83</v>
      </c>
      <c r="V301" s="4">
        <f>IF(ISERROR(VLOOKUP($S$301,'TAR FIN'!$A$1:$O$88,15,0)),0,VLOOKUP($S$301,'TAR FIN'!$A$1:$O$88,15,0))</f>
        <v>0</v>
      </c>
      <c r="W301" s="4">
        <f>IF(ISERROR(VLOOKUP($T$301,'TAR FIN'!$A$1:$O$88,15,0)),0,VLOOKUP($T$301,'TAR FIN'!$A$1:$O$88,15,0))</f>
        <v>476.06</v>
      </c>
      <c r="X301" s="4">
        <f>IF(ISERROR(VLOOKUP($U$301,'TAR FIN'!$A$1:$O$88,15,0)),0,VLOOKUP($U$301,'TAR FIN'!$A$1:$O$88,15,0))</f>
        <v>165.21</v>
      </c>
      <c r="Y301" s="4"/>
      <c r="Z301" s="4">
        <f ca="1">('TUSD BE'!$AM$48+'TUSD BF'!$AM$48+'TUSD CVA'!$AM$48)*1</f>
        <v>529.7136948578077</v>
      </c>
      <c r="AA301" s="4">
        <f>('TE BE'!$AB$38+'TE BF'!$AB$38+'TE CVA'!$AB$38)*1</f>
        <v>153.95741395122897</v>
      </c>
      <c r="AB301" s="4">
        <f>$K$301*$V$301</f>
        <v>0</v>
      </c>
      <c r="AC301" s="4">
        <f>$M$301*$W$301</f>
        <v>27739.540140000001</v>
      </c>
      <c r="AD301" s="4">
        <f>$O$301*$X$301</f>
        <v>9626.6214899999995</v>
      </c>
      <c r="AE301" s="4">
        <f>$K$301*$Y$301</f>
        <v>0</v>
      </c>
      <c r="AF301" s="4">
        <f ca="1">$M$301*$Z$301</f>
        <v>30865.887285669596</v>
      </c>
      <c r="AG301" s="4">
        <f>$O$301*$AA$301</f>
        <v>8970.9445535241612</v>
      </c>
    </row>
    <row r="302" spans="1:33" ht="11.25" customHeight="1" x14ac:dyDescent="0.25">
      <c r="A302" s="3" t="s">
        <v>28</v>
      </c>
      <c r="B302" s="3" t="s">
        <v>33</v>
      </c>
      <c r="C302" s="3" t="s">
        <v>23</v>
      </c>
      <c r="D302" s="3" t="s">
        <v>34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44682</v>
      </c>
      <c r="J302" s="4">
        <v>0</v>
      </c>
      <c r="K302" s="4">
        <v>0</v>
      </c>
      <c r="L302" s="4">
        <v>32.993000000000002</v>
      </c>
      <c r="M302" s="4">
        <v>32.993000000000002</v>
      </c>
      <c r="N302" s="4">
        <v>32.993000000000002</v>
      </c>
      <c r="O302" s="4">
        <v>32.993000000000002</v>
      </c>
      <c r="P302" s="4">
        <v>12</v>
      </c>
      <c r="Q302" s="3" t="s">
        <v>26</v>
      </c>
      <c r="R302" s="3">
        <v>0</v>
      </c>
      <c r="S302" s="4">
        <v>0</v>
      </c>
      <c r="T302" s="4">
        <v>50</v>
      </c>
      <c r="U302" s="4">
        <v>83</v>
      </c>
      <c r="V302" s="4">
        <f>IF(ISERROR(VLOOKUP($S$302,'TAR FIN'!$A$1:$O$88,15,0)),0,VLOOKUP($S$302,'TAR FIN'!$A$1:$O$88,15,0))</f>
        <v>0</v>
      </c>
      <c r="W302" s="4">
        <f>IF(ISERROR(VLOOKUP($T$302,'TAR FIN'!$A$1:$O$88,15,0)),0,VLOOKUP($T$302,'TAR FIN'!$A$1:$O$88,15,0))</f>
        <v>476.06</v>
      </c>
      <c r="X302" s="4">
        <f>IF(ISERROR(VLOOKUP($U$302,'TAR FIN'!$A$1:$O$88,15,0)),0,VLOOKUP($U$302,'TAR FIN'!$A$1:$O$88,15,0))</f>
        <v>165.21</v>
      </c>
      <c r="Y302" s="4"/>
      <c r="Z302" s="4">
        <f ca="1">('TUSD BE'!$AM$48+'TUSD BF'!$AM$48+'TUSD CVA'!$AM$48)*1</f>
        <v>529.7136948578077</v>
      </c>
      <c r="AA302" s="4">
        <f>('TE BE'!$AB$38+'TE BF'!$AB$38+'TE CVA'!$AB$38)*1</f>
        <v>153.95741395122897</v>
      </c>
      <c r="AB302" s="4">
        <f>$K$302*$V$302</f>
        <v>0</v>
      </c>
      <c r="AC302" s="4">
        <f>$M$302*$W$302</f>
        <v>15706.647580000001</v>
      </c>
      <c r="AD302" s="4">
        <f>$O$302*$X$302</f>
        <v>5450.7735300000004</v>
      </c>
      <c r="AE302" s="4">
        <f>$K$302*$Y$302</f>
        <v>0</v>
      </c>
      <c r="AF302" s="4">
        <f ca="1">$M$302*$Z$302</f>
        <v>17476.843934443652</v>
      </c>
      <c r="AG302" s="4">
        <f>$O$302*$AA$302</f>
        <v>5079.5169584928981</v>
      </c>
    </row>
    <row r="303" spans="1:33" ht="11.25" customHeight="1" x14ac:dyDescent="0.25">
      <c r="A303" s="3" t="s">
        <v>21</v>
      </c>
      <c r="B303" s="3" t="s">
        <v>33</v>
      </c>
      <c r="C303" s="3" t="s">
        <v>23</v>
      </c>
      <c r="D303" s="3" t="s">
        <v>34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44713</v>
      </c>
      <c r="J303" s="4">
        <v>0</v>
      </c>
      <c r="K303" s="4">
        <v>0</v>
      </c>
      <c r="L303" s="4">
        <v>55.75</v>
      </c>
      <c r="M303" s="4">
        <v>55.75</v>
      </c>
      <c r="N303" s="4">
        <v>55.75</v>
      </c>
      <c r="O303" s="4">
        <v>55.75</v>
      </c>
      <c r="P303" s="4">
        <v>54</v>
      </c>
      <c r="Q303" s="3" t="s">
        <v>26</v>
      </c>
      <c r="R303" s="3">
        <v>0</v>
      </c>
      <c r="S303" s="4">
        <v>0</v>
      </c>
      <c r="T303" s="4">
        <v>50</v>
      </c>
      <c r="U303" s="4">
        <v>83</v>
      </c>
      <c r="V303" s="4">
        <f>IF(ISERROR(VLOOKUP($S$303,'TAR FIN'!$A$1:$O$88,15,0)),0,VLOOKUP($S$303,'TAR FIN'!$A$1:$O$88,15,0))</f>
        <v>0</v>
      </c>
      <c r="W303" s="4">
        <f>IF(ISERROR(VLOOKUP($T$303,'TAR FIN'!$A$1:$O$88,15,0)),0,VLOOKUP($T$303,'TAR FIN'!$A$1:$O$88,15,0))</f>
        <v>476.06</v>
      </c>
      <c r="X303" s="4">
        <f>IF(ISERROR(VLOOKUP($U$303,'TAR FIN'!$A$1:$O$88,15,0)),0,VLOOKUP($U$303,'TAR FIN'!$A$1:$O$88,15,0))</f>
        <v>165.21</v>
      </c>
      <c r="Y303" s="4"/>
      <c r="Z303" s="4">
        <f ca="1">('TUSD BE'!$AM$48+'TUSD BF'!$AM$48+'TUSD CVA'!$AM$48)*1</f>
        <v>529.7136948578077</v>
      </c>
      <c r="AA303" s="4">
        <f>('TE BE'!$AB$38+'TE BF'!$AB$38+'TE CVA'!$AB$38)*1</f>
        <v>153.95741395122897</v>
      </c>
      <c r="AB303" s="4">
        <f>$K$303*$V$303</f>
        <v>0</v>
      </c>
      <c r="AC303" s="4">
        <f>$M$303*$W$303</f>
        <v>26540.345000000001</v>
      </c>
      <c r="AD303" s="4">
        <f>$O$303*$X$303</f>
        <v>9210.4575000000004</v>
      </c>
      <c r="AE303" s="4">
        <f>$K$303*$Y$303</f>
        <v>0</v>
      </c>
      <c r="AF303" s="4">
        <f ca="1">$M$303*$Z$303</f>
        <v>29531.538488322778</v>
      </c>
      <c r="AG303" s="4">
        <f>$O$303*$AA$303</f>
        <v>8583.1258277810157</v>
      </c>
    </row>
    <row r="304" spans="1:33" ht="11.25" customHeight="1" x14ac:dyDescent="0.25">
      <c r="A304" s="3" t="s">
        <v>28</v>
      </c>
      <c r="B304" s="3" t="s">
        <v>33</v>
      </c>
      <c r="C304" s="3" t="s">
        <v>23</v>
      </c>
      <c r="D304" s="3" t="s">
        <v>34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44713</v>
      </c>
      <c r="J304" s="4">
        <v>0</v>
      </c>
      <c r="K304" s="4">
        <v>0</v>
      </c>
      <c r="L304" s="4">
        <v>40.058</v>
      </c>
      <c r="M304" s="4">
        <v>40.058</v>
      </c>
      <c r="N304" s="4">
        <v>40.058</v>
      </c>
      <c r="O304" s="4">
        <v>40.058</v>
      </c>
      <c r="P304" s="4">
        <v>13</v>
      </c>
      <c r="Q304" s="3" t="s">
        <v>26</v>
      </c>
      <c r="R304" s="3">
        <v>0</v>
      </c>
      <c r="S304" s="4">
        <v>0</v>
      </c>
      <c r="T304" s="4">
        <v>50</v>
      </c>
      <c r="U304" s="4">
        <v>83</v>
      </c>
      <c r="V304" s="4">
        <f>IF(ISERROR(VLOOKUP($S$304,'TAR FIN'!$A$1:$O$88,15,0)),0,VLOOKUP($S$304,'TAR FIN'!$A$1:$O$88,15,0))</f>
        <v>0</v>
      </c>
      <c r="W304" s="4">
        <f>IF(ISERROR(VLOOKUP($T$304,'TAR FIN'!$A$1:$O$88,15,0)),0,VLOOKUP($T$304,'TAR FIN'!$A$1:$O$88,15,0))</f>
        <v>476.06</v>
      </c>
      <c r="X304" s="4">
        <f>IF(ISERROR(VLOOKUP($U$304,'TAR FIN'!$A$1:$O$88,15,0)),0,VLOOKUP($U$304,'TAR FIN'!$A$1:$O$88,15,0))</f>
        <v>165.21</v>
      </c>
      <c r="Y304" s="4"/>
      <c r="Z304" s="4">
        <f ca="1">('TUSD BE'!$AM$48+'TUSD BF'!$AM$48+'TUSD CVA'!$AM$48)*1</f>
        <v>529.7136948578077</v>
      </c>
      <c r="AA304" s="4">
        <f>('TE BE'!$AB$38+'TE BF'!$AB$38+'TE CVA'!$AB$38)*1</f>
        <v>153.95741395122897</v>
      </c>
      <c r="AB304" s="4">
        <f>$K$304*$V$304</f>
        <v>0</v>
      </c>
      <c r="AC304" s="4">
        <f>$M$304*$W$304</f>
        <v>19070.011480000001</v>
      </c>
      <c r="AD304" s="4">
        <f>$O$304*$X$304</f>
        <v>6617.98218</v>
      </c>
      <c r="AE304" s="4">
        <f>$K$304*$Y$304</f>
        <v>0</v>
      </c>
      <c r="AF304" s="4">
        <f ca="1">$M$304*$Z$304</f>
        <v>21219.271188614061</v>
      </c>
      <c r="AG304" s="4">
        <f>$O$304*$AA$304</f>
        <v>6167.2260880583299</v>
      </c>
    </row>
    <row r="305" spans="1:33" ht="11.25" customHeight="1" x14ac:dyDescent="0.25">
      <c r="A305" s="3" t="s">
        <v>21</v>
      </c>
      <c r="B305" s="3" t="s">
        <v>33</v>
      </c>
      <c r="C305" s="3" t="s">
        <v>23</v>
      </c>
      <c r="D305" s="3" t="s">
        <v>34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44743</v>
      </c>
      <c r="J305" s="4">
        <v>0</v>
      </c>
      <c r="K305" s="4">
        <v>0</v>
      </c>
      <c r="L305" s="4">
        <v>53.003</v>
      </c>
      <c r="M305" s="4">
        <v>53.003</v>
      </c>
      <c r="N305" s="4">
        <v>53.003</v>
      </c>
      <c r="O305" s="4">
        <v>53.003</v>
      </c>
      <c r="P305" s="4">
        <v>54</v>
      </c>
      <c r="Q305" s="3" t="s">
        <v>26</v>
      </c>
      <c r="R305" s="3">
        <v>0</v>
      </c>
      <c r="S305" s="4">
        <v>0</v>
      </c>
      <c r="T305" s="4">
        <v>50</v>
      </c>
      <c r="U305" s="4">
        <v>83</v>
      </c>
      <c r="V305" s="4">
        <f>IF(ISERROR(VLOOKUP($S$305,'TAR FIN'!$A$1:$O$88,15,0)),0,VLOOKUP($S$305,'TAR FIN'!$A$1:$O$88,15,0))</f>
        <v>0</v>
      </c>
      <c r="W305" s="4">
        <f>IF(ISERROR(VLOOKUP($T$305,'TAR FIN'!$A$1:$O$88,15,0)),0,VLOOKUP($T$305,'TAR FIN'!$A$1:$O$88,15,0))</f>
        <v>476.06</v>
      </c>
      <c r="X305" s="4">
        <f>IF(ISERROR(VLOOKUP($U$305,'TAR FIN'!$A$1:$O$88,15,0)),0,VLOOKUP($U$305,'TAR FIN'!$A$1:$O$88,15,0))</f>
        <v>165.21</v>
      </c>
      <c r="Y305" s="4"/>
      <c r="Z305" s="4">
        <f ca="1">('TUSD BE'!$AM$48+'TUSD BF'!$AM$48+'TUSD CVA'!$AM$48)*1</f>
        <v>529.7136948578077</v>
      </c>
      <c r="AA305" s="4">
        <f>('TE BE'!$AB$38+'TE BF'!$AB$38+'TE CVA'!$AB$38)*1</f>
        <v>153.95741395122897</v>
      </c>
      <c r="AB305" s="4">
        <f>$K$305*$V$305</f>
        <v>0</v>
      </c>
      <c r="AC305" s="4">
        <f>$M$305*$W$305</f>
        <v>25232.608179999999</v>
      </c>
      <c r="AD305" s="4">
        <f>$O$305*$X$305</f>
        <v>8756.6256300000005</v>
      </c>
      <c r="AE305" s="4">
        <f>$K$305*$Y$305</f>
        <v>0</v>
      </c>
      <c r="AF305" s="4">
        <f ca="1">$M$305*$Z$305</f>
        <v>28076.414968548383</v>
      </c>
      <c r="AG305" s="4">
        <f>$O$305*$AA$305</f>
        <v>8160.2048116569895</v>
      </c>
    </row>
    <row r="306" spans="1:33" ht="11.25" customHeight="1" x14ac:dyDescent="0.25">
      <c r="A306" s="3" t="s">
        <v>28</v>
      </c>
      <c r="B306" s="3" t="s">
        <v>33</v>
      </c>
      <c r="C306" s="3" t="s">
        <v>23</v>
      </c>
      <c r="D306" s="3" t="s">
        <v>34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44743</v>
      </c>
      <c r="J306" s="4">
        <v>0</v>
      </c>
      <c r="K306" s="4">
        <v>0</v>
      </c>
      <c r="L306" s="4">
        <v>42.128</v>
      </c>
      <c r="M306" s="4">
        <v>42.128</v>
      </c>
      <c r="N306" s="4">
        <v>42.128</v>
      </c>
      <c r="O306" s="4">
        <v>42.128</v>
      </c>
      <c r="P306" s="4">
        <v>12</v>
      </c>
      <c r="Q306" s="3" t="s">
        <v>26</v>
      </c>
      <c r="R306" s="3">
        <v>0</v>
      </c>
      <c r="S306" s="4">
        <v>0</v>
      </c>
      <c r="T306" s="4">
        <v>50</v>
      </c>
      <c r="U306" s="4">
        <v>83</v>
      </c>
      <c r="V306" s="4">
        <f>IF(ISERROR(VLOOKUP($S$306,'TAR FIN'!$A$1:$O$88,15,0)),0,VLOOKUP($S$306,'TAR FIN'!$A$1:$O$88,15,0))</f>
        <v>0</v>
      </c>
      <c r="W306" s="4">
        <f>IF(ISERROR(VLOOKUP($T$306,'TAR FIN'!$A$1:$O$88,15,0)),0,VLOOKUP($T$306,'TAR FIN'!$A$1:$O$88,15,0))</f>
        <v>476.06</v>
      </c>
      <c r="X306" s="4">
        <f>IF(ISERROR(VLOOKUP($U$306,'TAR FIN'!$A$1:$O$88,15,0)),0,VLOOKUP($U$306,'TAR FIN'!$A$1:$O$88,15,0))</f>
        <v>165.21</v>
      </c>
      <c r="Y306" s="4"/>
      <c r="Z306" s="4">
        <f ca="1">('TUSD BE'!$AM$48+'TUSD BF'!$AM$48+'TUSD CVA'!$AM$48)*1</f>
        <v>529.7136948578077</v>
      </c>
      <c r="AA306" s="4">
        <f>('TE BE'!$AB$38+'TE BF'!$AB$38+'TE CVA'!$AB$38)*1</f>
        <v>153.95741395122897</v>
      </c>
      <c r="AB306" s="4">
        <f>$K$306*$V$306</f>
        <v>0</v>
      </c>
      <c r="AC306" s="4">
        <f>$M$306*$W$306</f>
        <v>20055.455679999999</v>
      </c>
      <c r="AD306" s="4">
        <f>$O$306*$X$306</f>
        <v>6959.9668799999999</v>
      </c>
      <c r="AE306" s="4">
        <f>$K$306*$Y$306</f>
        <v>0</v>
      </c>
      <c r="AF306" s="4">
        <f ca="1">$M$306*$Z$306</f>
        <v>22315.778536969723</v>
      </c>
      <c r="AG306" s="4">
        <f>$O$306*$AA$306</f>
        <v>6485.9179349373744</v>
      </c>
    </row>
    <row r="307" spans="1:33" ht="11.25" customHeight="1" x14ac:dyDescent="0.25">
      <c r="A307" s="3" t="s">
        <v>21</v>
      </c>
      <c r="B307" s="3" t="s">
        <v>33</v>
      </c>
      <c r="C307" s="3" t="s">
        <v>23</v>
      </c>
      <c r="D307" s="3" t="s">
        <v>34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44774</v>
      </c>
      <c r="J307" s="4">
        <v>0</v>
      </c>
      <c r="K307" s="4">
        <v>0</v>
      </c>
      <c r="L307" s="4">
        <v>61.704999999999998</v>
      </c>
      <c r="M307" s="4">
        <v>61.704999999999998</v>
      </c>
      <c r="N307" s="4">
        <v>61.704999999999998</v>
      </c>
      <c r="O307" s="4">
        <v>61.704999999999998</v>
      </c>
      <c r="P307" s="4">
        <v>53</v>
      </c>
      <c r="Q307" s="3" t="s">
        <v>26</v>
      </c>
      <c r="R307" s="3">
        <v>0</v>
      </c>
      <c r="S307" s="4">
        <v>0</v>
      </c>
      <c r="T307" s="4">
        <v>50</v>
      </c>
      <c r="U307" s="4">
        <v>83</v>
      </c>
      <c r="V307" s="4">
        <f>IF(ISERROR(VLOOKUP($S$307,'TAR FIN'!$A$1:$O$88,15,0)),0,VLOOKUP($S$307,'TAR FIN'!$A$1:$O$88,15,0))</f>
        <v>0</v>
      </c>
      <c r="W307" s="4">
        <f>IF(ISERROR(VLOOKUP($T$307,'TAR FIN'!$A$1:$O$88,15,0)),0,VLOOKUP($T$307,'TAR FIN'!$A$1:$O$88,15,0))</f>
        <v>476.06</v>
      </c>
      <c r="X307" s="4">
        <f>IF(ISERROR(VLOOKUP($U$307,'TAR FIN'!$A$1:$O$88,15,0)),0,VLOOKUP($U$307,'TAR FIN'!$A$1:$O$88,15,0))</f>
        <v>165.21</v>
      </c>
      <c r="Y307" s="4"/>
      <c r="Z307" s="4">
        <f ca="1">('TUSD BE'!$AM$48+'TUSD BF'!$AM$48+'TUSD CVA'!$AM$48)*1</f>
        <v>529.7136948578077</v>
      </c>
      <c r="AA307" s="4">
        <f>('TE BE'!$AB$38+'TE BF'!$AB$38+'TE CVA'!$AB$38)*1</f>
        <v>153.95741395122897</v>
      </c>
      <c r="AB307" s="4">
        <f>$K$307*$V$307</f>
        <v>0</v>
      </c>
      <c r="AC307" s="4">
        <f>$M$307*$W$307</f>
        <v>29375.282299999999</v>
      </c>
      <c r="AD307" s="4">
        <f>$O$307*$X$307</f>
        <v>10194.28305</v>
      </c>
      <c r="AE307" s="4">
        <f>$K$307*$Y$307</f>
        <v>0</v>
      </c>
      <c r="AF307" s="4">
        <f ca="1">$M$307*$Z$307</f>
        <v>32685.983541201022</v>
      </c>
      <c r="AG307" s="4">
        <f>$O$307*$AA$307</f>
        <v>9499.9422278605834</v>
      </c>
    </row>
    <row r="308" spans="1:33" ht="11.25" customHeight="1" x14ac:dyDescent="0.25">
      <c r="A308" s="3" t="s">
        <v>28</v>
      </c>
      <c r="B308" s="3" t="s">
        <v>33</v>
      </c>
      <c r="C308" s="3" t="s">
        <v>23</v>
      </c>
      <c r="D308" s="3" t="s">
        <v>34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44774</v>
      </c>
      <c r="J308" s="4">
        <v>0</v>
      </c>
      <c r="K308" s="4">
        <v>0</v>
      </c>
      <c r="L308" s="4">
        <v>44.357999999999997</v>
      </c>
      <c r="M308" s="4">
        <v>44.357999999999997</v>
      </c>
      <c r="N308" s="4">
        <v>44.357999999999997</v>
      </c>
      <c r="O308" s="4">
        <v>44.357999999999997</v>
      </c>
      <c r="P308" s="4">
        <v>14</v>
      </c>
      <c r="Q308" s="3" t="s">
        <v>26</v>
      </c>
      <c r="R308" s="3">
        <v>0</v>
      </c>
      <c r="S308" s="4">
        <v>0</v>
      </c>
      <c r="T308" s="4">
        <v>50</v>
      </c>
      <c r="U308" s="4">
        <v>83</v>
      </c>
      <c r="V308" s="4">
        <f>IF(ISERROR(VLOOKUP($S$308,'TAR FIN'!$A$1:$O$88,15,0)),0,VLOOKUP($S$308,'TAR FIN'!$A$1:$O$88,15,0))</f>
        <v>0</v>
      </c>
      <c r="W308" s="4">
        <f>IF(ISERROR(VLOOKUP($T$308,'TAR FIN'!$A$1:$O$88,15,0)),0,VLOOKUP($T$308,'TAR FIN'!$A$1:$O$88,15,0))</f>
        <v>476.06</v>
      </c>
      <c r="X308" s="4">
        <f>IF(ISERROR(VLOOKUP($U$308,'TAR FIN'!$A$1:$O$88,15,0)),0,VLOOKUP($U$308,'TAR FIN'!$A$1:$O$88,15,0))</f>
        <v>165.21</v>
      </c>
      <c r="Y308" s="4"/>
      <c r="Z308" s="4">
        <f ca="1">('TUSD BE'!$AM$48+'TUSD BF'!$AM$48+'TUSD CVA'!$AM$48)*1</f>
        <v>529.7136948578077</v>
      </c>
      <c r="AA308" s="4">
        <f>('TE BE'!$AB$38+'TE BF'!$AB$38+'TE CVA'!$AB$38)*1</f>
        <v>153.95741395122897</v>
      </c>
      <c r="AB308" s="4">
        <f>$K$308*$V$308</f>
        <v>0</v>
      </c>
      <c r="AC308" s="4">
        <f>$M$308*$W$308</f>
        <v>21117.069479999998</v>
      </c>
      <c r="AD308" s="4">
        <f>$O$308*$X$308</f>
        <v>7328.3851800000002</v>
      </c>
      <c r="AE308" s="4">
        <f>$K$308*$Y$308</f>
        <v>0</v>
      </c>
      <c r="AF308" s="4">
        <f ca="1">$M$308*$Z$308</f>
        <v>23497.040076502632</v>
      </c>
      <c r="AG308" s="4">
        <f>$O$308*$AA$308</f>
        <v>6829.2429680486139</v>
      </c>
    </row>
    <row r="309" spans="1:33" ht="11.25" customHeight="1" x14ac:dyDescent="0.25">
      <c r="A309" s="3" t="s">
        <v>21</v>
      </c>
      <c r="B309" s="3" t="s">
        <v>33</v>
      </c>
      <c r="C309" s="3" t="s">
        <v>23</v>
      </c>
      <c r="D309" s="3" t="s">
        <v>42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44440</v>
      </c>
      <c r="J309" s="4">
        <v>0</v>
      </c>
      <c r="K309" s="4">
        <v>0</v>
      </c>
      <c r="L309" s="4">
        <v>29.422999999999998</v>
      </c>
      <c r="M309" s="4">
        <v>29.422999999999998</v>
      </c>
      <c r="N309" s="4">
        <v>29.422999999999998</v>
      </c>
      <c r="O309" s="4">
        <v>29.422999999999998</v>
      </c>
      <c r="P309" s="4">
        <v>55</v>
      </c>
      <c r="Q309" s="3" t="s">
        <v>26</v>
      </c>
      <c r="R309" s="3">
        <v>0</v>
      </c>
      <c r="S309" s="4">
        <v>0</v>
      </c>
      <c r="T309" s="4">
        <v>50</v>
      </c>
      <c r="U309" s="4">
        <v>83</v>
      </c>
      <c r="V309" s="4">
        <f>IF(ISERROR(VLOOKUP($S$309,'TAR FIN'!$A$1:$O$88,15,0)),0,VLOOKUP($S$309,'TAR FIN'!$A$1:$O$88,15,0))</f>
        <v>0</v>
      </c>
      <c r="W309" s="4">
        <f>IF(ISERROR(VLOOKUP($T$309,'TAR FIN'!$A$1:$O$88,15,0)),0,VLOOKUP($T$309,'TAR FIN'!$A$1:$O$88,15,0))</f>
        <v>476.06</v>
      </c>
      <c r="X309" s="4">
        <f>IF(ISERROR(VLOOKUP($U$309,'TAR FIN'!$A$1:$O$88,15,0)),0,VLOOKUP($U$309,'TAR FIN'!$A$1:$O$88,15,0))</f>
        <v>165.21</v>
      </c>
      <c r="Y309" s="4"/>
      <c r="Z309" s="4">
        <f ca="1">('TUSD BE'!$AM$48+'TUSD BF'!$AM$48+'TUSD CVA'!$AM$48)*1</f>
        <v>529.7136948578077</v>
      </c>
      <c r="AA309" s="4">
        <f>('TE BE'!$AB$38+'TE BF'!$AB$38+'TE CVA'!$AB$38)*1</f>
        <v>153.95741395122897</v>
      </c>
      <c r="AB309" s="4">
        <f>$K$309*$V$309</f>
        <v>0</v>
      </c>
      <c r="AC309" s="4">
        <f>$M$309*$W$309</f>
        <v>14007.113379999999</v>
      </c>
      <c r="AD309" s="4">
        <f>$O$309*$X$309</f>
        <v>4860.9738299999999</v>
      </c>
      <c r="AE309" s="4">
        <f>$K$309*$Y$309</f>
        <v>0</v>
      </c>
      <c r="AF309" s="4">
        <f ca="1">$M$309*$Z$309</f>
        <v>15585.766043801275</v>
      </c>
      <c r="AG309" s="4">
        <f>$O$309*$AA$309</f>
        <v>4529.8889906870099</v>
      </c>
    </row>
    <row r="310" spans="1:33" ht="11.25" customHeight="1" x14ac:dyDescent="0.25">
      <c r="A310" s="3" t="s">
        <v>21</v>
      </c>
      <c r="B310" s="3" t="s">
        <v>33</v>
      </c>
      <c r="C310" s="3" t="s">
        <v>23</v>
      </c>
      <c r="D310" s="3" t="s">
        <v>42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44470</v>
      </c>
      <c r="J310" s="4">
        <v>0</v>
      </c>
      <c r="K310" s="4">
        <v>0</v>
      </c>
      <c r="L310" s="4">
        <v>25.593</v>
      </c>
      <c r="M310" s="4">
        <v>25.593</v>
      </c>
      <c r="N310" s="4">
        <v>25.593</v>
      </c>
      <c r="O310" s="4">
        <v>25.593</v>
      </c>
      <c r="P310" s="4">
        <v>56</v>
      </c>
      <c r="Q310" s="3" t="s">
        <v>26</v>
      </c>
      <c r="R310" s="3">
        <v>0</v>
      </c>
      <c r="S310" s="4">
        <v>0</v>
      </c>
      <c r="T310" s="4">
        <v>50</v>
      </c>
      <c r="U310" s="4">
        <v>83</v>
      </c>
      <c r="V310" s="4">
        <f>IF(ISERROR(VLOOKUP($S$310,'TAR FIN'!$A$1:$O$88,15,0)),0,VLOOKUP($S$310,'TAR FIN'!$A$1:$O$88,15,0))</f>
        <v>0</v>
      </c>
      <c r="W310" s="4">
        <f>IF(ISERROR(VLOOKUP($T$310,'TAR FIN'!$A$1:$O$88,15,0)),0,VLOOKUP($T$310,'TAR FIN'!$A$1:$O$88,15,0))</f>
        <v>476.06</v>
      </c>
      <c r="X310" s="4">
        <f>IF(ISERROR(VLOOKUP($U$310,'TAR FIN'!$A$1:$O$88,15,0)),0,VLOOKUP($U$310,'TAR FIN'!$A$1:$O$88,15,0))</f>
        <v>165.21</v>
      </c>
      <c r="Y310" s="4"/>
      <c r="Z310" s="4">
        <f ca="1">('TUSD BE'!$AM$48+'TUSD BF'!$AM$48+'TUSD CVA'!$AM$48)*1</f>
        <v>529.7136948578077</v>
      </c>
      <c r="AA310" s="4">
        <f>('TE BE'!$AB$38+'TE BF'!$AB$38+'TE CVA'!$AB$38)*1</f>
        <v>153.95741395122897</v>
      </c>
      <c r="AB310" s="4">
        <f>$K$310*$V$310</f>
        <v>0</v>
      </c>
      <c r="AC310" s="4">
        <f>$M$310*$W$310</f>
        <v>12183.80358</v>
      </c>
      <c r="AD310" s="4">
        <f>$O$310*$X$310</f>
        <v>4228.2195300000003</v>
      </c>
      <c r="AE310" s="4">
        <f>$K$310*$Y$310</f>
        <v>0</v>
      </c>
      <c r="AF310" s="4">
        <f ca="1">$M$310*$Z$310</f>
        <v>13556.962592495873</v>
      </c>
      <c r="AG310" s="4">
        <f>$O$310*$AA$310</f>
        <v>3940.232095253803</v>
      </c>
    </row>
    <row r="311" spans="1:33" ht="11.25" customHeight="1" x14ac:dyDescent="0.25">
      <c r="A311" s="3" t="s">
        <v>21</v>
      </c>
      <c r="B311" s="3" t="s">
        <v>33</v>
      </c>
      <c r="C311" s="3" t="s">
        <v>23</v>
      </c>
      <c r="D311" s="3" t="s">
        <v>42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44501</v>
      </c>
      <c r="J311" s="4">
        <v>0</v>
      </c>
      <c r="K311" s="4">
        <v>0</v>
      </c>
      <c r="L311" s="4">
        <v>36.228000000000002</v>
      </c>
      <c r="M311" s="4">
        <v>36.228000000000002</v>
      </c>
      <c r="N311" s="4">
        <v>36.228000000000002</v>
      </c>
      <c r="O311" s="4">
        <v>36.228000000000002</v>
      </c>
      <c r="P311" s="4">
        <v>56</v>
      </c>
      <c r="Q311" s="3" t="s">
        <v>26</v>
      </c>
      <c r="R311" s="3">
        <v>0</v>
      </c>
      <c r="S311" s="4">
        <v>0</v>
      </c>
      <c r="T311" s="4">
        <v>50</v>
      </c>
      <c r="U311" s="4">
        <v>83</v>
      </c>
      <c r="V311" s="4">
        <f>IF(ISERROR(VLOOKUP($S$311,'TAR FIN'!$A$1:$O$88,15,0)),0,VLOOKUP($S$311,'TAR FIN'!$A$1:$O$88,15,0))</f>
        <v>0</v>
      </c>
      <c r="W311" s="4">
        <f>IF(ISERROR(VLOOKUP($T$311,'TAR FIN'!$A$1:$O$88,15,0)),0,VLOOKUP($T$311,'TAR FIN'!$A$1:$O$88,15,0))</f>
        <v>476.06</v>
      </c>
      <c r="X311" s="4">
        <f>IF(ISERROR(VLOOKUP($U$311,'TAR FIN'!$A$1:$O$88,15,0)),0,VLOOKUP($U$311,'TAR FIN'!$A$1:$O$88,15,0))</f>
        <v>165.21</v>
      </c>
      <c r="Y311" s="4"/>
      <c r="Z311" s="4">
        <f ca="1">('TUSD BE'!$AM$48+'TUSD BF'!$AM$48+'TUSD CVA'!$AM$48)*1</f>
        <v>529.7136948578077</v>
      </c>
      <c r="AA311" s="4">
        <f>('TE BE'!$AB$38+'TE BF'!$AB$38+'TE CVA'!$AB$38)*1</f>
        <v>153.95741395122897</v>
      </c>
      <c r="AB311" s="4">
        <f>$K$311*$V$311</f>
        <v>0</v>
      </c>
      <c r="AC311" s="4">
        <f>$M$311*$W$311</f>
        <v>17246.701680000002</v>
      </c>
      <c r="AD311" s="4">
        <f>$O$311*$X$311</f>
        <v>5985.2278800000004</v>
      </c>
      <c r="AE311" s="4">
        <f>$K$311*$Y$311</f>
        <v>0</v>
      </c>
      <c r="AF311" s="4">
        <f ca="1">$M$311*$Z$311</f>
        <v>19190.46773730866</v>
      </c>
      <c r="AG311" s="4">
        <f>$O$311*$AA$311</f>
        <v>5577.5691926251238</v>
      </c>
    </row>
    <row r="312" spans="1:33" ht="11.25" customHeight="1" x14ac:dyDescent="0.25">
      <c r="A312" s="3" t="s">
        <v>21</v>
      </c>
      <c r="B312" s="3" t="s">
        <v>33</v>
      </c>
      <c r="C312" s="3" t="s">
        <v>23</v>
      </c>
      <c r="D312" s="3" t="s">
        <v>42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44531</v>
      </c>
      <c r="J312" s="4">
        <v>0</v>
      </c>
      <c r="K312" s="4">
        <v>0</v>
      </c>
      <c r="L312" s="4">
        <v>40.069000000000003</v>
      </c>
      <c r="M312" s="4">
        <v>40.069000000000003</v>
      </c>
      <c r="N312" s="4">
        <v>40.069000000000003</v>
      </c>
      <c r="O312" s="4">
        <v>40.069000000000003</v>
      </c>
      <c r="P312" s="4">
        <v>55</v>
      </c>
      <c r="Q312" s="3" t="s">
        <v>26</v>
      </c>
      <c r="R312" s="3">
        <v>0</v>
      </c>
      <c r="S312" s="4">
        <v>0</v>
      </c>
      <c r="T312" s="4">
        <v>50</v>
      </c>
      <c r="U312" s="4">
        <v>83</v>
      </c>
      <c r="V312" s="4">
        <f>IF(ISERROR(VLOOKUP($S$312,'TAR FIN'!$A$1:$O$88,15,0)),0,VLOOKUP($S$312,'TAR FIN'!$A$1:$O$88,15,0))</f>
        <v>0</v>
      </c>
      <c r="W312" s="4">
        <f>IF(ISERROR(VLOOKUP($T$312,'TAR FIN'!$A$1:$O$88,15,0)),0,VLOOKUP($T$312,'TAR FIN'!$A$1:$O$88,15,0))</f>
        <v>476.06</v>
      </c>
      <c r="X312" s="4">
        <f>IF(ISERROR(VLOOKUP($U$312,'TAR FIN'!$A$1:$O$88,15,0)),0,VLOOKUP($U$312,'TAR FIN'!$A$1:$O$88,15,0))</f>
        <v>165.21</v>
      </c>
      <c r="Y312" s="4"/>
      <c r="Z312" s="4">
        <f ca="1">('TUSD BE'!$AM$48+'TUSD BF'!$AM$48+'TUSD CVA'!$AM$48)*1</f>
        <v>529.7136948578077</v>
      </c>
      <c r="AA312" s="4">
        <f>('TE BE'!$AB$38+'TE BF'!$AB$38+'TE CVA'!$AB$38)*1</f>
        <v>153.95741395122897</v>
      </c>
      <c r="AB312" s="4">
        <f>$K$312*$V$312</f>
        <v>0</v>
      </c>
      <c r="AC312" s="4">
        <f>$M$312*$W$312</f>
        <v>19075.24814</v>
      </c>
      <c r="AD312" s="4">
        <f>$O$312*$X$312</f>
        <v>6619.7994900000003</v>
      </c>
      <c r="AE312" s="4">
        <f>$K$312*$Y$312</f>
        <v>0</v>
      </c>
      <c r="AF312" s="4">
        <f ca="1">$M$312*$Z$312</f>
        <v>21225.098039257497</v>
      </c>
      <c r="AG312" s="4">
        <f>$O$312*$AA$312</f>
        <v>6168.9196196117937</v>
      </c>
    </row>
    <row r="313" spans="1:33" ht="11.25" customHeight="1" x14ac:dyDescent="0.25">
      <c r="A313" s="3" t="s">
        <v>21</v>
      </c>
      <c r="B313" s="3" t="s">
        <v>33</v>
      </c>
      <c r="C313" s="3" t="s">
        <v>23</v>
      </c>
      <c r="D313" s="3" t="s">
        <v>42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44562</v>
      </c>
      <c r="J313" s="4">
        <v>0</v>
      </c>
      <c r="K313" s="4">
        <v>0</v>
      </c>
      <c r="L313" s="4">
        <v>31.506</v>
      </c>
      <c r="M313" s="4">
        <v>31.506</v>
      </c>
      <c r="N313" s="4">
        <v>31.506</v>
      </c>
      <c r="O313" s="4">
        <v>31.506</v>
      </c>
      <c r="P313" s="4">
        <v>55</v>
      </c>
      <c r="Q313" s="3" t="s">
        <v>26</v>
      </c>
      <c r="R313" s="3">
        <v>0</v>
      </c>
      <c r="S313" s="4">
        <v>0</v>
      </c>
      <c r="T313" s="4">
        <v>50</v>
      </c>
      <c r="U313" s="4">
        <v>83</v>
      </c>
      <c r="V313" s="4">
        <f>IF(ISERROR(VLOOKUP($S$313,'TAR FIN'!$A$1:$O$88,15,0)),0,VLOOKUP($S$313,'TAR FIN'!$A$1:$O$88,15,0))</f>
        <v>0</v>
      </c>
      <c r="W313" s="4">
        <f>IF(ISERROR(VLOOKUP($T$313,'TAR FIN'!$A$1:$O$88,15,0)),0,VLOOKUP($T$313,'TAR FIN'!$A$1:$O$88,15,0))</f>
        <v>476.06</v>
      </c>
      <c r="X313" s="4">
        <f>IF(ISERROR(VLOOKUP($U$313,'TAR FIN'!$A$1:$O$88,15,0)),0,VLOOKUP($U$313,'TAR FIN'!$A$1:$O$88,15,0))</f>
        <v>165.21</v>
      </c>
      <c r="Y313" s="4"/>
      <c r="Z313" s="4">
        <f ca="1">('TUSD BE'!$AM$48+'TUSD BF'!$AM$48+'TUSD CVA'!$AM$48)*1</f>
        <v>529.7136948578077</v>
      </c>
      <c r="AA313" s="4">
        <f>('TE BE'!$AB$38+'TE BF'!$AB$38+'TE CVA'!$AB$38)*1</f>
        <v>153.95741395122897</v>
      </c>
      <c r="AB313" s="4">
        <f>$K$313*$V$313</f>
        <v>0</v>
      </c>
      <c r="AC313" s="4">
        <f>$M$313*$W$313</f>
        <v>14998.746360000001</v>
      </c>
      <c r="AD313" s="4">
        <f>$O$313*$X$313</f>
        <v>5205.1062600000005</v>
      </c>
      <c r="AE313" s="4">
        <f>$K$313*$Y$313</f>
        <v>0</v>
      </c>
      <c r="AF313" s="4">
        <f ca="1">$M$313*$Z$313</f>
        <v>16689.159670190089</v>
      </c>
      <c r="AG313" s="4">
        <f>$O$313*$AA$313</f>
        <v>4850.5822839474204</v>
      </c>
    </row>
    <row r="314" spans="1:33" ht="11.25" customHeight="1" x14ac:dyDescent="0.25">
      <c r="A314" s="3" t="s">
        <v>21</v>
      </c>
      <c r="B314" s="3" t="s">
        <v>33</v>
      </c>
      <c r="C314" s="3" t="s">
        <v>23</v>
      </c>
      <c r="D314" s="3" t="s">
        <v>42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44593</v>
      </c>
      <c r="J314" s="4">
        <v>0</v>
      </c>
      <c r="K314" s="4">
        <v>0</v>
      </c>
      <c r="L314" s="4">
        <v>51.444000000000003</v>
      </c>
      <c r="M314" s="4">
        <v>51.444000000000003</v>
      </c>
      <c r="N314" s="4">
        <v>51.444000000000003</v>
      </c>
      <c r="O314" s="4">
        <v>51.444000000000003</v>
      </c>
      <c r="P314" s="4">
        <v>56</v>
      </c>
      <c r="Q314" s="3" t="s">
        <v>26</v>
      </c>
      <c r="R314" s="3">
        <v>0</v>
      </c>
      <c r="S314" s="4">
        <v>0</v>
      </c>
      <c r="T314" s="4">
        <v>50</v>
      </c>
      <c r="U314" s="4">
        <v>83</v>
      </c>
      <c r="V314" s="4">
        <f>IF(ISERROR(VLOOKUP($S$314,'TAR FIN'!$A$1:$O$88,15,0)),0,VLOOKUP($S$314,'TAR FIN'!$A$1:$O$88,15,0))</f>
        <v>0</v>
      </c>
      <c r="W314" s="4">
        <f>IF(ISERROR(VLOOKUP($T$314,'TAR FIN'!$A$1:$O$88,15,0)),0,VLOOKUP($T$314,'TAR FIN'!$A$1:$O$88,15,0))</f>
        <v>476.06</v>
      </c>
      <c r="X314" s="4">
        <f>IF(ISERROR(VLOOKUP($U$314,'TAR FIN'!$A$1:$O$88,15,0)),0,VLOOKUP($U$314,'TAR FIN'!$A$1:$O$88,15,0))</f>
        <v>165.21</v>
      </c>
      <c r="Y314" s="4"/>
      <c r="Z314" s="4">
        <f ca="1">('TUSD BE'!$AM$48+'TUSD BF'!$AM$48+'TUSD CVA'!$AM$48)*1</f>
        <v>529.7136948578077</v>
      </c>
      <c r="AA314" s="4">
        <f>('TE BE'!$AB$38+'TE BF'!$AB$38+'TE CVA'!$AB$38)*1</f>
        <v>153.95741395122897</v>
      </c>
      <c r="AB314" s="4">
        <f>$K$314*$V$314</f>
        <v>0</v>
      </c>
      <c r="AC314" s="4">
        <f>$M$314*$W$314</f>
        <v>24490.430640000002</v>
      </c>
      <c r="AD314" s="4">
        <f>$O$314*$X$314</f>
        <v>8499.0632400000013</v>
      </c>
      <c r="AE314" s="4">
        <f>$K$314*$Y$314</f>
        <v>0</v>
      </c>
      <c r="AF314" s="4">
        <f ca="1">$M$314*$Z$314</f>
        <v>27250.591318265062</v>
      </c>
      <c r="AG314" s="4">
        <f>$O$314*$AA$314</f>
        <v>7920.1852033070236</v>
      </c>
    </row>
    <row r="315" spans="1:33" ht="11.25" customHeight="1" x14ac:dyDescent="0.25">
      <c r="A315" s="3" t="s">
        <v>21</v>
      </c>
      <c r="B315" s="3" t="s">
        <v>33</v>
      </c>
      <c r="C315" s="3" t="s">
        <v>23</v>
      </c>
      <c r="D315" s="3" t="s">
        <v>42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44621</v>
      </c>
      <c r="J315" s="4">
        <v>0</v>
      </c>
      <c r="K315" s="4">
        <v>0</v>
      </c>
      <c r="L315" s="4">
        <v>51.603000000000002</v>
      </c>
      <c r="M315" s="4">
        <v>51.603000000000002</v>
      </c>
      <c r="N315" s="4">
        <v>51.603000000000002</v>
      </c>
      <c r="O315" s="4">
        <v>51.603000000000002</v>
      </c>
      <c r="P315" s="4">
        <v>57</v>
      </c>
      <c r="Q315" s="3" t="s">
        <v>26</v>
      </c>
      <c r="R315" s="3">
        <v>0</v>
      </c>
      <c r="S315" s="4">
        <v>0</v>
      </c>
      <c r="T315" s="4">
        <v>50</v>
      </c>
      <c r="U315" s="4">
        <v>83</v>
      </c>
      <c r="V315" s="4">
        <f>IF(ISERROR(VLOOKUP($S$315,'TAR FIN'!$A$1:$O$88,15,0)),0,VLOOKUP($S$315,'TAR FIN'!$A$1:$O$88,15,0))</f>
        <v>0</v>
      </c>
      <c r="W315" s="4">
        <f>IF(ISERROR(VLOOKUP($T$315,'TAR FIN'!$A$1:$O$88,15,0)),0,VLOOKUP($T$315,'TAR FIN'!$A$1:$O$88,15,0))</f>
        <v>476.06</v>
      </c>
      <c r="X315" s="4">
        <f>IF(ISERROR(VLOOKUP($U$315,'TAR FIN'!$A$1:$O$88,15,0)),0,VLOOKUP($U$315,'TAR FIN'!$A$1:$O$88,15,0))</f>
        <v>165.21</v>
      </c>
      <c r="Y315" s="4"/>
      <c r="Z315" s="4">
        <f ca="1">('TUSD BE'!$AM$48+'TUSD BF'!$AM$48+'TUSD CVA'!$AM$48)*1</f>
        <v>529.7136948578077</v>
      </c>
      <c r="AA315" s="4">
        <f>('TE BE'!$AB$38+'TE BF'!$AB$38+'TE CVA'!$AB$38)*1</f>
        <v>153.95741395122897</v>
      </c>
      <c r="AB315" s="4">
        <f>$K$315*$V$315</f>
        <v>0</v>
      </c>
      <c r="AC315" s="4">
        <f>$M$315*$W$315</f>
        <v>24566.124180000003</v>
      </c>
      <c r="AD315" s="4">
        <f>$O$315*$X$315</f>
        <v>8525.3316300000006</v>
      </c>
      <c r="AE315" s="4">
        <f>$K$315*$Y$315</f>
        <v>0</v>
      </c>
      <c r="AF315" s="4">
        <f ca="1">$M$315*$Z$315</f>
        <v>27334.81579574745</v>
      </c>
      <c r="AG315" s="4">
        <f>$O$315*$AA$315</f>
        <v>7944.6644321252688</v>
      </c>
    </row>
    <row r="316" spans="1:33" ht="11.25" customHeight="1" x14ac:dyDescent="0.25">
      <c r="A316" s="3" t="s">
        <v>21</v>
      </c>
      <c r="B316" s="3" t="s">
        <v>33</v>
      </c>
      <c r="C316" s="3" t="s">
        <v>23</v>
      </c>
      <c r="D316" s="3" t="s">
        <v>42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44652</v>
      </c>
      <c r="J316" s="4">
        <v>0</v>
      </c>
      <c r="K316" s="4">
        <v>0</v>
      </c>
      <c r="L316" s="4">
        <v>37.845999999999997</v>
      </c>
      <c r="M316" s="4">
        <v>37.845999999999997</v>
      </c>
      <c r="N316" s="4">
        <v>37.845999999999997</v>
      </c>
      <c r="O316" s="4">
        <v>37.845999999999997</v>
      </c>
      <c r="P316" s="4">
        <v>56</v>
      </c>
      <c r="Q316" s="3" t="s">
        <v>26</v>
      </c>
      <c r="R316" s="3">
        <v>0</v>
      </c>
      <c r="S316" s="4">
        <v>0</v>
      </c>
      <c r="T316" s="4">
        <v>50</v>
      </c>
      <c r="U316" s="4">
        <v>83</v>
      </c>
      <c r="V316" s="4">
        <f>IF(ISERROR(VLOOKUP($S$316,'TAR FIN'!$A$1:$O$88,15,0)),0,VLOOKUP($S$316,'TAR FIN'!$A$1:$O$88,15,0))</f>
        <v>0</v>
      </c>
      <c r="W316" s="4">
        <f>IF(ISERROR(VLOOKUP($T$316,'TAR FIN'!$A$1:$O$88,15,0)),0,VLOOKUP($T$316,'TAR FIN'!$A$1:$O$88,15,0))</f>
        <v>476.06</v>
      </c>
      <c r="X316" s="4">
        <f>IF(ISERROR(VLOOKUP($U$316,'TAR FIN'!$A$1:$O$88,15,0)),0,VLOOKUP($U$316,'TAR FIN'!$A$1:$O$88,15,0))</f>
        <v>165.21</v>
      </c>
      <c r="Y316" s="4"/>
      <c r="Z316" s="4">
        <f ca="1">('TUSD BE'!$AM$48+'TUSD BF'!$AM$48+'TUSD CVA'!$AM$48)*1</f>
        <v>529.7136948578077</v>
      </c>
      <c r="AA316" s="4">
        <f>('TE BE'!$AB$38+'TE BF'!$AB$38+'TE CVA'!$AB$38)*1</f>
        <v>153.95741395122897</v>
      </c>
      <c r="AB316" s="4">
        <f>$K$316*$V$316</f>
        <v>0</v>
      </c>
      <c r="AC316" s="4">
        <f>$M$316*$W$316</f>
        <v>18016.966759999999</v>
      </c>
      <c r="AD316" s="4">
        <f>$O$316*$X$316</f>
        <v>6252.53766</v>
      </c>
      <c r="AE316" s="4">
        <f>$K$316*$Y$316</f>
        <v>0</v>
      </c>
      <c r="AF316" s="4">
        <f ca="1">$M$316*$Z$316</f>
        <v>20047.544495588587</v>
      </c>
      <c r="AG316" s="4">
        <f>$O$316*$AA$316</f>
        <v>5826.6722883982111</v>
      </c>
    </row>
    <row r="317" spans="1:33" ht="11.25" customHeight="1" x14ac:dyDescent="0.25">
      <c r="A317" s="3" t="s">
        <v>21</v>
      </c>
      <c r="B317" s="3" t="s">
        <v>33</v>
      </c>
      <c r="C317" s="3" t="s">
        <v>23</v>
      </c>
      <c r="D317" s="3" t="s">
        <v>42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44682</v>
      </c>
      <c r="J317" s="4">
        <v>0</v>
      </c>
      <c r="K317" s="4">
        <v>0</v>
      </c>
      <c r="L317" s="4">
        <v>32.81</v>
      </c>
      <c r="M317" s="4">
        <v>32.81</v>
      </c>
      <c r="N317" s="4">
        <v>32.81</v>
      </c>
      <c r="O317" s="4">
        <v>32.81</v>
      </c>
      <c r="P317" s="4">
        <v>57</v>
      </c>
      <c r="Q317" s="3" t="s">
        <v>26</v>
      </c>
      <c r="R317" s="3">
        <v>0</v>
      </c>
      <c r="S317" s="4">
        <v>0</v>
      </c>
      <c r="T317" s="4">
        <v>50</v>
      </c>
      <c r="U317" s="4">
        <v>83</v>
      </c>
      <c r="V317" s="4">
        <f>IF(ISERROR(VLOOKUP($S$317,'TAR FIN'!$A$1:$O$88,15,0)),0,VLOOKUP($S$317,'TAR FIN'!$A$1:$O$88,15,0))</f>
        <v>0</v>
      </c>
      <c r="W317" s="4">
        <f>IF(ISERROR(VLOOKUP($T$317,'TAR FIN'!$A$1:$O$88,15,0)),0,VLOOKUP($T$317,'TAR FIN'!$A$1:$O$88,15,0))</f>
        <v>476.06</v>
      </c>
      <c r="X317" s="4">
        <f>IF(ISERROR(VLOOKUP($U$317,'TAR FIN'!$A$1:$O$88,15,0)),0,VLOOKUP($U$317,'TAR FIN'!$A$1:$O$88,15,0))</f>
        <v>165.21</v>
      </c>
      <c r="Y317" s="4"/>
      <c r="Z317" s="4">
        <f ca="1">('TUSD BE'!$AM$48+'TUSD BF'!$AM$48+'TUSD CVA'!$AM$48)*1</f>
        <v>529.7136948578077</v>
      </c>
      <c r="AA317" s="4">
        <f>('TE BE'!$AB$38+'TE BF'!$AB$38+'TE CVA'!$AB$38)*1</f>
        <v>153.95741395122897</v>
      </c>
      <c r="AB317" s="4">
        <f>$K$317*$V$317</f>
        <v>0</v>
      </c>
      <c r="AC317" s="4">
        <f>$M$317*$W$317</f>
        <v>15619.528600000001</v>
      </c>
      <c r="AD317" s="4">
        <f>$O$317*$X$317</f>
        <v>5420.5401000000011</v>
      </c>
      <c r="AE317" s="4">
        <f>$K$317*$Y$317</f>
        <v>0</v>
      </c>
      <c r="AF317" s="4">
        <f ca="1">$M$317*$Z$317</f>
        <v>17379.906328284673</v>
      </c>
      <c r="AG317" s="4">
        <f>$O$317*$AA$317</f>
        <v>5051.3427517398231</v>
      </c>
    </row>
    <row r="318" spans="1:33" ht="11.25" customHeight="1" x14ac:dyDescent="0.25">
      <c r="A318" s="3" t="s">
        <v>21</v>
      </c>
      <c r="B318" s="3" t="s">
        <v>33</v>
      </c>
      <c r="C318" s="3" t="s">
        <v>23</v>
      </c>
      <c r="D318" s="3" t="s">
        <v>42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44713</v>
      </c>
      <c r="J318" s="4">
        <v>0</v>
      </c>
      <c r="K318" s="4">
        <v>0</v>
      </c>
      <c r="L318" s="4">
        <v>32.688000000000002</v>
      </c>
      <c r="M318" s="4">
        <v>32.688000000000002</v>
      </c>
      <c r="N318" s="4">
        <v>32.688000000000002</v>
      </c>
      <c r="O318" s="4">
        <v>32.688000000000002</v>
      </c>
      <c r="P318" s="4">
        <v>57</v>
      </c>
      <c r="Q318" s="3" t="s">
        <v>26</v>
      </c>
      <c r="R318" s="3">
        <v>0</v>
      </c>
      <c r="S318" s="4">
        <v>0</v>
      </c>
      <c r="T318" s="4">
        <v>50</v>
      </c>
      <c r="U318" s="4">
        <v>83</v>
      </c>
      <c r="V318" s="4">
        <f>IF(ISERROR(VLOOKUP($S$318,'TAR FIN'!$A$1:$O$88,15,0)),0,VLOOKUP($S$318,'TAR FIN'!$A$1:$O$88,15,0))</f>
        <v>0</v>
      </c>
      <c r="W318" s="4">
        <f>IF(ISERROR(VLOOKUP($T$318,'TAR FIN'!$A$1:$O$88,15,0)),0,VLOOKUP($T$318,'TAR FIN'!$A$1:$O$88,15,0))</f>
        <v>476.06</v>
      </c>
      <c r="X318" s="4">
        <f>IF(ISERROR(VLOOKUP($U$318,'TAR FIN'!$A$1:$O$88,15,0)),0,VLOOKUP($U$318,'TAR FIN'!$A$1:$O$88,15,0))</f>
        <v>165.21</v>
      </c>
      <c r="Y318" s="4"/>
      <c r="Z318" s="4">
        <f ca="1">('TUSD BE'!$AM$48+'TUSD BF'!$AM$48+'TUSD CVA'!$AM$48)*1</f>
        <v>529.7136948578077</v>
      </c>
      <c r="AA318" s="4">
        <f>('TE BE'!$AB$38+'TE BF'!$AB$38+'TE CVA'!$AB$38)*1</f>
        <v>153.95741395122897</v>
      </c>
      <c r="AB318" s="4">
        <f>$K$318*$V$318</f>
        <v>0</v>
      </c>
      <c r="AC318" s="4">
        <f>$M$318*$W$318</f>
        <v>15561.449280000001</v>
      </c>
      <c r="AD318" s="4">
        <f>$O$318*$X$318</f>
        <v>5400.3844800000006</v>
      </c>
      <c r="AE318" s="4">
        <f>$K$318*$Y$318</f>
        <v>0</v>
      </c>
      <c r="AF318" s="4">
        <f ca="1">$M$318*$Z$318</f>
        <v>17315.281257512019</v>
      </c>
      <c r="AG318" s="4">
        <f>$O$318*$AA$318</f>
        <v>5032.5599472377726</v>
      </c>
    </row>
    <row r="319" spans="1:33" ht="11.25" customHeight="1" x14ac:dyDescent="0.25">
      <c r="A319" s="3" t="s">
        <v>21</v>
      </c>
      <c r="B319" s="3" t="s">
        <v>33</v>
      </c>
      <c r="C319" s="3" t="s">
        <v>23</v>
      </c>
      <c r="D319" s="3" t="s">
        <v>42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44743</v>
      </c>
      <c r="J319" s="4">
        <v>0</v>
      </c>
      <c r="K319" s="4">
        <v>0</v>
      </c>
      <c r="L319" s="4">
        <v>29.638999999999999</v>
      </c>
      <c r="M319" s="4">
        <v>29.638999999999999</v>
      </c>
      <c r="N319" s="4">
        <v>29.638999999999999</v>
      </c>
      <c r="O319" s="4">
        <v>29.638999999999999</v>
      </c>
      <c r="P319" s="4">
        <v>58</v>
      </c>
      <c r="Q319" s="3" t="s">
        <v>26</v>
      </c>
      <c r="R319" s="3">
        <v>0</v>
      </c>
      <c r="S319" s="4">
        <v>0</v>
      </c>
      <c r="T319" s="4">
        <v>50</v>
      </c>
      <c r="U319" s="4">
        <v>83</v>
      </c>
      <c r="V319" s="4">
        <f>IF(ISERROR(VLOOKUP($S$319,'TAR FIN'!$A$1:$O$88,15,0)),0,VLOOKUP($S$319,'TAR FIN'!$A$1:$O$88,15,0))</f>
        <v>0</v>
      </c>
      <c r="W319" s="4">
        <f>IF(ISERROR(VLOOKUP($T$319,'TAR FIN'!$A$1:$O$88,15,0)),0,VLOOKUP($T$319,'TAR FIN'!$A$1:$O$88,15,0))</f>
        <v>476.06</v>
      </c>
      <c r="X319" s="4">
        <f>IF(ISERROR(VLOOKUP($U$319,'TAR FIN'!$A$1:$O$88,15,0)),0,VLOOKUP($U$319,'TAR FIN'!$A$1:$O$88,15,0))</f>
        <v>165.21</v>
      </c>
      <c r="Y319" s="4"/>
      <c r="Z319" s="4">
        <f ca="1">('TUSD BE'!$AM$48+'TUSD BF'!$AM$48+'TUSD CVA'!$AM$48)*1</f>
        <v>529.7136948578077</v>
      </c>
      <c r="AA319" s="4">
        <f>('TE BE'!$AB$38+'TE BF'!$AB$38+'TE CVA'!$AB$38)*1</f>
        <v>153.95741395122897</v>
      </c>
      <c r="AB319" s="4">
        <f>$K$319*$V$319</f>
        <v>0</v>
      </c>
      <c r="AC319" s="4">
        <f>$M$319*$W$319</f>
        <v>14109.94234</v>
      </c>
      <c r="AD319" s="4">
        <f>$O$319*$X$319</f>
        <v>4896.6591900000003</v>
      </c>
      <c r="AE319" s="4">
        <f>$K$319*$Y$319</f>
        <v>0</v>
      </c>
      <c r="AF319" s="4">
        <f ca="1">$M$319*$Z$319</f>
        <v>15700.184201890563</v>
      </c>
      <c r="AG319" s="4">
        <f>$O$319*$AA$319</f>
        <v>4563.1437921004754</v>
      </c>
    </row>
    <row r="320" spans="1:33" ht="11.25" customHeight="1" x14ac:dyDescent="0.25">
      <c r="A320" s="3" t="s">
        <v>21</v>
      </c>
      <c r="B320" s="3" t="s">
        <v>33</v>
      </c>
      <c r="C320" s="3" t="s">
        <v>23</v>
      </c>
      <c r="D320" s="3" t="s">
        <v>42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44774</v>
      </c>
      <c r="J320" s="4">
        <v>0</v>
      </c>
      <c r="K320" s="4">
        <v>0</v>
      </c>
      <c r="L320" s="4">
        <v>30.934000000000001</v>
      </c>
      <c r="M320" s="4">
        <v>30.934000000000001</v>
      </c>
      <c r="N320" s="4">
        <v>30.934000000000001</v>
      </c>
      <c r="O320" s="4">
        <v>30.934000000000001</v>
      </c>
      <c r="P320" s="4">
        <v>58</v>
      </c>
      <c r="Q320" s="3" t="s">
        <v>26</v>
      </c>
      <c r="R320" s="3">
        <v>0</v>
      </c>
      <c r="S320" s="4">
        <v>0</v>
      </c>
      <c r="T320" s="4">
        <v>50</v>
      </c>
      <c r="U320" s="4">
        <v>83</v>
      </c>
      <c r="V320" s="4">
        <f>IF(ISERROR(VLOOKUP($S$320,'TAR FIN'!$A$1:$O$88,15,0)),0,VLOOKUP($S$320,'TAR FIN'!$A$1:$O$88,15,0))</f>
        <v>0</v>
      </c>
      <c r="W320" s="4">
        <f>IF(ISERROR(VLOOKUP($T$320,'TAR FIN'!$A$1:$O$88,15,0)),0,VLOOKUP($T$320,'TAR FIN'!$A$1:$O$88,15,0))</f>
        <v>476.06</v>
      </c>
      <c r="X320" s="4">
        <f>IF(ISERROR(VLOOKUP($U$320,'TAR FIN'!$A$1:$O$88,15,0)),0,VLOOKUP($U$320,'TAR FIN'!$A$1:$O$88,15,0))</f>
        <v>165.21</v>
      </c>
      <c r="Y320" s="4"/>
      <c r="Z320" s="4">
        <f ca="1">('TUSD BE'!$AM$48+'TUSD BF'!$AM$48+'TUSD CVA'!$AM$48)*1</f>
        <v>529.7136948578077</v>
      </c>
      <c r="AA320" s="4">
        <f>('TE BE'!$AB$38+'TE BF'!$AB$38+'TE CVA'!$AB$38)*1</f>
        <v>153.95741395122897</v>
      </c>
      <c r="AB320" s="4">
        <f>$K$320*$V$320</f>
        <v>0</v>
      </c>
      <c r="AC320" s="4">
        <f>$M$320*$W$320</f>
        <v>14726.440040000001</v>
      </c>
      <c r="AD320" s="4">
        <f>$O$320*$X$320</f>
        <v>5110.6061400000008</v>
      </c>
      <c r="AE320" s="4">
        <f>$K$320*$Y$320</f>
        <v>0</v>
      </c>
      <c r="AF320" s="4">
        <f ca="1">$M$320*$Z$320</f>
        <v>16386.163436731425</v>
      </c>
      <c r="AG320" s="4">
        <f>$O$320*$AA$320</f>
        <v>4762.5186431673174</v>
      </c>
    </row>
    <row r="321" spans="1:33" ht="11.25" customHeight="1" x14ac:dyDescent="0.25">
      <c r="A321" s="3" t="s">
        <v>21</v>
      </c>
      <c r="B321" s="3" t="s">
        <v>33</v>
      </c>
      <c r="C321" s="3" t="s">
        <v>23</v>
      </c>
      <c r="D321" s="3" t="s">
        <v>47</v>
      </c>
      <c r="E321" s="3" t="s">
        <v>48</v>
      </c>
      <c r="F321" s="3" t="s">
        <v>25</v>
      </c>
      <c r="G321" s="3" t="s">
        <v>25</v>
      </c>
      <c r="H321" s="3" t="s">
        <v>25</v>
      </c>
      <c r="I321" s="6">
        <v>44440</v>
      </c>
      <c r="J321" s="4">
        <v>0</v>
      </c>
      <c r="K321" s="52">
        <v>0</v>
      </c>
      <c r="L321" s="4">
        <v>7.6340000000000003</v>
      </c>
      <c r="M321" s="52">
        <v>7.6340000000000003</v>
      </c>
      <c r="N321" s="4">
        <v>7.6340000000000003</v>
      </c>
      <c r="O321" s="52">
        <v>7.6340000000000003</v>
      </c>
      <c r="P321" s="4">
        <v>13</v>
      </c>
      <c r="Q321" s="3" t="s">
        <v>26</v>
      </c>
      <c r="R321" s="3">
        <v>0</v>
      </c>
      <c r="S321" s="4">
        <v>0</v>
      </c>
      <c r="T321" s="4">
        <v>50</v>
      </c>
      <c r="U321" s="4">
        <v>83</v>
      </c>
      <c r="V321" s="52">
        <f>IF(ISERROR(VLOOKUP($S$321,'TAR FIN'!$A$1:$O$88,15,0)),0,VLOOKUP($S$321,'TAR FIN'!$A$1:$O$88,15,0))</f>
        <v>0</v>
      </c>
      <c r="W321" s="52">
        <f>IF(ISERROR(VLOOKUP($T$321,'TAR FIN'!$A$1:$O$88,15,0)),0,VLOOKUP($T$321,'TAR FIN'!$A$1:$O$88,15,0))*(1-0.06)</f>
        <v>447.49639999999999</v>
      </c>
      <c r="X321" s="52">
        <f>IF(ISERROR(VLOOKUP($U$321,'TAR FIN'!$A$1:$O$88,15,0)),0,VLOOKUP($U$321,'TAR FIN'!$A$1:$O$88,15,0))*(1-0.06)</f>
        <v>155.29740000000001</v>
      </c>
      <c r="Y321" s="52"/>
      <c r="Z321" s="52">
        <f ca="1">('TUSD BE'!$AM$48+'TUSD BF'!$AM$48+'TUSD CVA'!$AM$48)*1*(1-0.03)</f>
        <v>513.8222840120734</v>
      </c>
      <c r="AA321" s="52">
        <f>('TE BE'!$AB$38+'TE BF'!$AB$38+'TE CVA'!$AB$38)*1*(1-0.03)</f>
        <v>149.33869153269211</v>
      </c>
      <c r="AB321" s="4">
        <f>$K$321*$V$321</f>
        <v>0</v>
      </c>
      <c r="AC321" s="4">
        <f>$M$321*$W$321</f>
        <v>3416.1875176000003</v>
      </c>
      <c r="AD321" s="4">
        <f>$O$321*$X$321</f>
        <v>1185.5403516000001</v>
      </c>
      <c r="AE321" s="4">
        <f>$K$321*$Y$321</f>
        <v>0</v>
      </c>
      <c r="AF321" s="4">
        <f ca="1">$M$321*$Z$321</f>
        <v>3922.5193161481684</v>
      </c>
      <c r="AG321" s="4">
        <f>$O$321*$AA$321</f>
        <v>1140.0515711605717</v>
      </c>
    </row>
    <row r="322" spans="1:33" ht="11.25" customHeight="1" x14ac:dyDescent="0.25">
      <c r="A322" s="3" t="s">
        <v>21</v>
      </c>
      <c r="B322" s="3" t="s">
        <v>33</v>
      </c>
      <c r="C322" s="3" t="s">
        <v>23</v>
      </c>
      <c r="D322" s="3" t="s">
        <v>47</v>
      </c>
      <c r="E322" s="3" t="s">
        <v>48</v>
      </c>
      <c r="F322" s="3" t="s">
        <v>25</v>
      </c>
      <c r="G322" s="3" t="s">
        <v>25</v>
      </c>
      <c r="H322" s="3" t="s">
        <v>25</v>
      </c>
      <c r="I322" s="6">
        <v>44470</v>
      </c>
      <c r="J322" s="4">
        <v>0</v>
      </c>
      <c r="K322" s="52">
        <v>0</v>
      </c>
      <c r="L322" s="4">
        <v>7.2930000000000001</v>
      </c>
      <c r="M322" s="52">
        <v>7.2930000000000001</v>
      </c>
      <c r="N322" s="4">
        <v>7.2930000000000001</v>
      </c>
      <c r="O322" s="52">
        <v>7.2930000000000001</v>
      </c>
      <c r="P322" s="4">
        <v>12</v>
      </c>
      <c r="Q322" s="3" t="s">
        <v>26</v>
      </c>
      <c r="R322" s="3">
        <v>0</v>
      </c>
      <c r="S322" s="4">
        <v>0</v>
      </c>
      <c r="T322" s="4">
        <v>50</v>
      </c>
      <c r="U322" s="4">
        <v>83</v>
      </c>
      <c r="V322" s="52">
        <f>IF(ISERROR(VLOOKUP($S$322,'TAR FIN'!$A$1:$O$88,15,0)),0,VLOOKUP($S$322,'TAR FIN'!$A$1:$O$88,15,0))</f>
        <v>0</v>
      </c>
      <c r="W322" s="52">
        <f>IF(ISERROR(VLOOKUP($T$322,'TAR FIN'!$A$1:$O$88,15,0)),0,VLOOKUP($T$322,'TAR FIN'!$A$1:$O$88,15,0))*(1-0.06)</f>
        <v>447.49639999999999</v>
      </c>
      <c r="X322" s="52">
        <f>IF(ISERROR(VLOOKUP($U$322,'TAR FIN'!$A$1:$O$88,15,0)),0,VLOOKUP($U$322,'TAR FIN'!$A$1:$O$88,15,0))*(1-0.06)</f>
        <v>155.29740000000001</v>
      </c>
      <c r="Y322" s="52"/>
      <c r="Z322" s="52">
        <f ca="1">('TUSD BE'!$AM$48+'TUSD BF'!$AM$48+'TUSD CVA'!$AM$48)*1*(1-0.03)</f>
        <v>513.8222840120734</v>
      </c>
      <c r="AA322" s="52">
        <f>('TE BE'!$AB$38+'TE BF'!$AB$38+'TE CVA'!$AB$38)*1*(1-0.03)</f>
        <v>149.33869153269211</v>
      </c>
      <c r="AB322" s="4">
        <f>$K$322*$V$322</f>
        <v>0</v>
      </c>
      <c r="AC322" s="4">
        <f>$M$322*$W$322</f>
        <v>3263.5912452000002</v>
      </c>
      <c r="AD322" s="4">
        <f>$O$322*$X$322</f>
        <v>1132.5839382000001</v>
      </c>
      <c r="AE322" s="4">
        <f>$K$322*$Y$322</f>
        <v>0</v>
      </c>
      <c r="AF322" s="4">
        <f ca="1">$M$322*$Z$322</f>
        <v>3747.3059173000515</v>
      </c>
      <c r="AG322" s="4">
        <f>$O$322*$AA$322</f>
        <v>1089.1270773479237</v>
      </c>
    </row>
    <row r="323" spans="1:33" ht="11.25" customHeight="1" x14ac:dyDescent="0.25">
      <c r="A323" s="3" t="s">
        <v>21</v>
      </c>
      <c r="B323" s="3" t="s">
        <v>33</v>
      </c>
      <c r="C323" s="3" t="s">
        <v>23</v>
      </c>
      <c r="D323" s="3" t="s">
        <v>47</v>
      </c>
      <c r="E323" s="3" t="s">
        <v>48</v>
      </c>
      <c r="F323" s="3" t="s">
        <v>25</v>
      </c>
      <c r="G323" s="3" t="s">
        <v>25</v>
      </c>
      <c r="H323" s="3" t="s">
        <v>25</v>
      </c>
      <c r="I323" s="6">
        <v>44501</v>
      </c>
      <c r="J323" s="4">
        <v>0</v>
      </c>
      <c r="K323" s="52">
        <v>0</v>
      </c>
      <c r="L323" s="4">
        <v>6.923</v>
      </c>
      <c r="M323" s="52">
        <v>6.923</v>
      </c>
      <c r="N323" s="4">
        <v>6.923</v>
      </c>
      <c r="O323" s="52">
        <v>6.923</v>
      </c>
      <c r="P323" s="4">
        <v>12</v>
      </c>
      <c r="Q323" s="3" t="s">
        <v>26</v>
      </c>
      <c r="R323" s="3">
        <v>0</v>
      </c>
      <c r="S323" s="4">
        <v>0</v>
      </c>
      <c r="T323" s="4">
        <v>50</v>
      </c>
      <c r="U323" s="4">
        <v>83</v>
      </c>
      <c r="V323" s="52">
        <f>IF(ISERROR(VLOOKUP($S$323,'TAR FIN'!$A$1:$O$88,15,0)),0,VLOOKUP($S$323,'TAR FIN'!$A$1:$O$88,15,0))</f>
        <v>0</v>
      </c>
      <c r="W323" s="52">
        <f>IF(ISERROR(VLOOKUP($T$323,'TAR FIN'!$A$1:$O$88,15,0)),0,VLOOKUP($T$323,'TAR FIN'!$A$1:$O$88,15,0))*(1-0.06)</f>
        <v>447.49639999999999</v>
      </c>
      <c r="X323" s="52">
        <f>IF(ISERROR(VLOOKUP($U$323,'TAR FIN'!$A$1:$O$88,15,0)),0,VLOOKUP($U$323,'TAR FIN'!$A$1:$O$88,15,0))*(1-0.06)</f>
        <v>155.29740000000001</v>
      </c>
      <c r="Y323" s="52"/>
      <c r="Z323" s="52">
        <f ca="1">('TUSD BE'!$AM$48+'TUSD BF'!$AM$48+'TUSD CVA'!$AM$48)*1*(1-0.03)</f>
        <v>513.8222840120734</v>
      </c>
      <c r="AA323" s="52">
        <f>('TE BE'!$AB$38+'TE BF'!$AB$38+'TE CVA'!$AB$38)*1*(1-0.03)</f>
        <v>149.33869153269211</v>
      </c>
      <c r="AB323" s="4">
        <f>$K$323*$V$323</f>
        <v>0</v>
      </c>
      <c r="AC323" s="4">
        <f>$M$323*$W$323</f>
        <v>3098.0175771999998</v>
      </c>
      <c r="AD323" s="4">
        <f>$O$323*$X$323</f>
        <v>1075.1239002</v>
      </c>
      <c r="AE323" s="4">
        <f>$K$323*$Y$323</f>
        <v>0</v>
      </c>
      <c r="AF323" s="4">
        <f ca="1">$M$323*$Z$323</f>
        <v>3557.1916722155843</v>
      </c>
      <c r="AG323" s="4">
        <f>$O$323*$AA$323</f>
        <v>1033.8717614808274</v>
      </c>
    </row>
    <row r="324" spans="1:33" ht="11.25" customHeight="1" x14ac:dyDescent="0.25">
      <c r="A324" s="3" t="s">
        <v>21</v>
      </c>
      <c r="B324" s="3" t="s">
        <v>33</v>
      </c>
      <c r="C324" s="3" t="s">
        <v>23</v>
      </c>
      <c r="D324" s="3" t="s">
        <v>47</v>
      </c>
      <c r="E324" s="3" t="s">
        <v>48</v>
      </c>
      <c r="F324" s="3" t="s">
        <v>25</v>
      </c>
      <c r="G324" s="3" t="s">
        <v>25</v>
      </c>
      <c r="H324" s="3" t="s">
        <v>25</v>
      </c>
      <c r="I324" s="6">
        <v>44531</v>
      </c>
      <c r="J324" s="4">
        <v>0</v>
      </c>
      <c r="K324" s="52">
        <v>0</v>
      </c>
      <c r="L324" s="4">
        <v>7.5789999999999997</v>
      </c>
      <c r="M324" s="52">
        <v>7.5789999999999997</v>
      </c>
      <c r="N324" s="4">
        <v>7.5789999999999997</v>
      </c>
      <c r="O324" s="52">
        <v>7.5789999999999997</v>
      </c>
      <c r="P324" s="4">
        <v>12</v>
      </c>
      <c r="Q324" s="3" t="s">
        <v>26</v>
      </c>
      <c r="R324" s="3">
        <v>0</v>
      </c>
      <c r="S324" s="4">
        <v>0</v>
      </c>
      <c r="T324" s="4">
        <v>50</v>
      </c>
      <c r="U324" s="4">
        <v>83</v>
      </c>
      <c r="V324" s="52">
        <f>IF(ISERROR(VLOOKUP($S$324,'TAR FIN'!$A$1:$O$88,15,0)),0,VLOOKUP($S$324,'TAR FIN'!$A$1:$O$88,15,0))</f>
        <v>0</v>
      </c>
      <c r="W324" s="52">
        <f>IF(ISERROR(VLOOKUP($T$324,'TAR FIN'!$A$1:$O$88,15,0)),0,VLOOKUP($T$324,'TAR FIN'!$A$1:$O$88,15,0))*(1-0.06)</f>
        <v>447.49639999999999</v>
      </c>
      <c r="X324" s="52">
        <f>IF(ISERROR(VLOOKUP($U$324,'TAR FIN'!$A$1:$O$88,15,0)),0,VLOOKUP($U$324,'TAR FIN'!$A$1:$O$88,15,0))*(1-0.06)</f>
        <v>155.29740000000001</v>
      </c>
      <c r="Y324" s="52"/>
      <c r="Z324" s="52">
        <f ca="1">('TUSD BE'!$AM$48+'TUSD BF'!$AM$48+'TUSD CVA'!$AM$48)*1*(1-0.03)</f>
        <v>513.8222840120734</v>
      </c>
      <c r="AA324" s="52">
        <f>('TE BE'!$AB$38+'TE BF'!$AB$38+'TE CVA'!$AB$38)*1*(1-0.03)</f>
        <v>149.33869153269211</v>
      </c>
      <c r="AB324" s="4">
        <f>$K$324*$V$324</f>
        <v>0</v>
      </c>
      <c r="AC324" s="4">
        <f>$M$324*$W$324</f>
        <v>3391.5752155999999</v>
      </c>
      <c r="AD324" s="4">
        <f>$O$324*$X$324</f>
        <v>1176.9989946000001</v>
      </c>
      <c r="AE324" s="4">
        <f>$K$324*$Y$324</f>
        <v>0</v>
      </c>
      <c r="AF324" s="4">
        <f ca="1">$M$324*$Z$324</f>
        <v>3894.2590905275042</v>
      </c>
      <c r="AG324" s="4">
        <f>$O$324*$AA$324</f>
        <v>1131.8379431262736</v>
      </c>
    </row>
    <row r="325" spans="1:33" ht="11.25" customHeight="1" x14ac:dyDescent="0.25">
      <c r="A325" s="3" t="s">
        <v>21</v>
      </c>
      <c r="B325" s="3" t="s">
        <v>33</v>
      </c>
      <c r="C325" s="3" t="s">
        <v>23</v>
      </c>
      <c r="D325" s="3" t="s">
        <v>47</v>
      </c>
      <c r="E325" s="3" t="s">
        <v>48</v>
      </c>
      <c r="F325" s="3" t="s">
        <v>25</v>
      </c>
      <c r="G325" s="3" t="s">
        <v>25</v>
      </c>
      <c r="H325" s="3" t="s">
        <v>25</v>
      </c>
      <c r="I325" s="6">
        <v>44562</v>
      </c>
      <c r="J325" s="4">
        <v>0</v>
      </c>
      <c r="K325" s="52">
        <v>0</v>
      </c>
      <c r="L325" s="4">
        <v>12.791</v>
      </c>
      <c r="M325" s="52">
        <v>12.791</v>
      </c>
      <c r="N325" s="4">
        <v>12.791</v>
      </c>
      <c r="O325" s="52">
        <v>12.791</v>
      </c>
      <c r="P325" s="4">
        <v>12</v>
      </c>
      <c r="Q325" s="3" t="s">
        <v>26</v>
      </c>
      <c r="R325" s="3">
        <v>0</v>
      </c>
      <c r="S325" s="4">
        <v>0</v>
      </c>
      <c r="T325" s="4">
        <v>50</v>
      </c>
      <c r="U325" s="4">
        <v>83</v>
      </c>
      <c r="V325" s="52">
        <f>IF(ISERROR(VLOOKUP($S$325,'TAR FIN'!$A$1:$O$88,15,0)),0,VLOOKUP($S$325,'TAR FIN'!$A$1:$O$88,15,0))</f>
        <v>0</v>
      </c>
      <c r="W325" s="52">
        <f>IF(ISERROR(VLOOKUP($T$325,'TAR FIN'!$A$1:$O$88,15,0)),0,VLOOKUP($T$325,'TAR FIN'!$A$1:$O$88,15,0))*(1-0.06)</f>
        <v>447.49639999999999</v>
      </c>
      <c r="X325" s="52">
        <f>IF(ISERROR(VLOOKUP($U$325,'TAR FIN'!$A$1:$O$88,15,0)),0,VLOOKUP($U$325,'TAR FIN'!$A$1:$O$88,15,0))*(1-0.06)</f>
        <v>155.29740000000001</v>
      </c>
      <c r="Y325" s="52"/>
      <c r="Z325" s="52">
        <f ca="1">('TUSD BE'!$AM$48+'TUSD BF'!$AM$48+'TUSD CVA'!$AM$48)*1*(1-0.03)</f>
        <v>513.8222840120734</v>
      </c>
      <c r="AA325" s="52">
        <f>('TE BE'!$AB$38+'TE BF'!$AB$38+'TE CVA'!$AB$38)*1*(1-0.03)</f>
        <v>149.33869153269211</v>
      </c>
      <c r="AB325" s="4">
        <f>$K$325*$V$325</f>
        <v>0</v>
      </c>
      <c r="AC325" s="4">
        <f>$M$325*$W$325</f>
        <v>5723.9264524</v>
      </c>
      <c r="AD325" s="4">
        <f>$O$325*$X$325</f>
        <v>1986.4090434000002</v>
      </c>
      <c r="AE325" s="4">
        <f>$K$325*$Y$325</f>
        <v>0</v>
      </c>
      <c r="AF325" s="4">
        <f ca="1">$M$325*$Z$325</f>
        <v>6572.3008347984314</v>
      </c>
      <c r="AG325" s="4">
        <f>$O$325*$AA$325</f>
        <v>1910.1912033946649</v>
      </c>
    </row>
    <row r="326" spans="1:33" ht="11.25" customHeight="1" x14ac:dyDescent="0.25">
      <c r="A326" s="3" t="s">
        <v>21</v>
      </c>
      <c r="B326" s="3" t="s">
        <v>33</v>
      </c>
      <c r="C326" s="3" t="s">
        <v>23</v>
      </c>
      <c r="D326" s="3" t="s">
        <v>47</v>
      </c>
      <c r="E326" s="3" t="s">
        <v>48</v>
      </c>
      <c r="F326" s="3" t="s">
        <v>25</v>
      </c>
      <c r="G326" s="3" t="s">
        <v>25</v>
      </c>
      <c r="H326" s="3" t="s">
        <v>25</v>
      </c>
      <c r="I326" s="6">
        <v>44593</v>
      </c>
      <c r="J326" s="4">
        <v>0</v>
      </c>
      <c r="K326" s="52">
        <v>0</v>
      </c>
      <c r="L326" s="4">
        <v>8.4130000000000003</v>
      </c>
      <c r="M326" s="52">
        <v>8.4130000000000003</v>
      </c>
      <c r="N326" s="4">
        <v>8.4130000000000003</v>
      </c>
      <c r="O326" s="52">
        <v>8.4130000000000003</v>
      </c>
      <c r="P326" s="4">
        <v>12</v>
      </c>
      <c r="Q326" s="3" t="s">
        <v>26</v>
      </c>
      <c r="R326" s="3">
        <v>0</v>
      </c>
      <c r="S326" s="4">
        <v>0</v>
      </c>
      <c r="T326" s="4">
        <v>50</v>
      </c>
      <c r="U326" s="4">
        <v>83</v>
      </c>
      <c r="V326" s="52">
        <f>IF(ISERROR(VLOOKUP($S$326,'TAR FIN'!$A$1:$O$88,15,0)),0,VLOOKUP($S$326,'TAR FIN'!$A$1:$O$88,15,0))</f>
        <v>0</v>
      </c>
      <c r="W326" s="52">
        <f>IF(ISERROR(VLOOKUP($T$326,'TAR FIN'!$A$1:$O$88,15,0)),0,VLOOKUP($T$326,'TAR FIN'!$A$1:$O$88,15,0))*(1-0.06)</f>
        <v>447.49639999999999</v>
      </c>
      <c r="X326" s="52">
        <f>IF(ISERROR(VLOOKUP($U$326,'TAR FIN'!$A$1:$O$88,15,0)),0,VLOOKUP($U$326,'TAR FIN'!$A$1:$O$88,15,0))*(1-0.06)</f>
        <v>155.29740000000001</v>
      </c>
      <c r="Y326" s="52"/>
      <c r="Z326" s="52">
        <f ca="1">('TUSD BE'!$AM$48+'TUSD BF'!$AM$48+'TUSD CVA'!$AM$48)*1*(1-0.03)</f>
        <v>513.8222840120734</v>
      </c>
      <c r="AA326" s="52">
        <f>('TE BE'!$AB$38+'TE BF'!$AB$38+'TE CVA'!$AB$38)*1*(1-0.03)</f>
        <v>149.33869153269211</v>
      </c>
      <c r="AB326" s="4">
        <f>$K$326*$V$326</f>
        <v>0</v>
      </c>
      <c r="AC326" s="4">
        <f>$M$326*$W$326</f>
        <v>3764.7872132000002</v>
      </c>
      <c r="AD326" s="4">
        <f>$O$326*$X$326</f>
        <v>1306.5170262000001</v>
      </c>
      <c r="AE326" s="4">
        <f>$K$326*$Y$326</f>
        <v>0</v>
      </c>
      <c r="AF326" s="4">
        <f ca="1">$M$326*$Z$326</f>
        <v>4322.7868753935736</v>
      </c>
      <c r="AG326" s="4">
        <f>$O$326*$AA$326</f>
        <v>1256.3864118645388</v>
      </c>
    </row>
    <row r="327" spans="1:33" ht="11.25" customHeight="1" x14ac:dyDescent="0.25">
      <c r="A327" s="3" t="s">
        <v>21</v>
      </c>
      <c r="B327" s="3" t="s">
        <v>33</v>
      </c>
      <c r="C327" s="3" t="s">
        <v>23</v>
      </c>
      <c r="D327" s="3" t="s">
        <v>47</v>
      </c>
      <c r="E327" s="3" t="s">
        <v>48</v>
      </c>
      <c r="F327" s="3" t="s">
        <v>25</v>
      </c>
      <c r="G327" s="3" t="s">
        <v>25</v>
      </c>
      <c r="H327" s="3" t="s">
        <v>25</v>
      </c>
      <c r="I327" s="6">
        <v>44621</v>
      </c>
      <c r="J327" s="4">
        <v>0</v>
      </c>
      <c r="K327" s="52">
        <v>0</v>
      </c>
      <c r="L327" s="4">
        <v>6.742</v>
      </c>
      <c r="M327" s="52">
        <v>6.742</v>
      </c>
      <c r="N327" s="4">
        <v>6.742</v>
      </c>
      <c r="O327" s="52">
        <v>6.742</v>
      </c>
      <c r="P327" s="4">
        <v>12</v>
      </c>
      <c r="Q327" s="3" t="s">
        <v>26</v>
      </c>
      <c r="R327" s="3">
        <v>0</v>
      </c>
      <c r="S327" s="4">
        <v>0</v>
      </c>
      <c r="T327" s="4">
        <v>50</v>
      </c>
      <c r="U327" s="4">
        <v>83</v>
      </c>
      <c r="V327" s="52">
        <f>IF(ISERROR(VLOOKUP($S$327,'TAR FIN'!$A$1:$O$88,15,0)),0,VLOOKUP($S$327,'TAR FIN'!$A$1:$O$88,15,0))</f>
        <v>0</v>
      </c>
      <c r="W327" s="52">
        <f>IF(ISERROR(VLOOKUP($T$327,'TAR FIN'!$A$1:$O$88,15,0)),0,VLOOKUP($T$327,'TAR FIN'!$A$1:$O$88,15,0))*(1-0.06)</f>
        <v>447.49639999999999</v>
      </c>
      <c r="X327" s="52">
        <f>IF(ISERROR(VLOOKUP($U$327,'TAR FIN'!$A$1:$O$88,15,0)),0,VLOOKUP($U$327,'TAR FIN'!$A$1:$O$88,15,0))*(1-0.06)</f>
        <v>155.29740000000001</v>
      </c>
      <c r="Y327" s="52"/>
      <c r="Z327" s="52">
        <f ca="1">('TUSD BE'!$AM$48+'TUSD BF'!$AM$48+'TUSD CVA'!$AM$48)*1*(1-0.03)</f>
        <v>513.8222840120734</v>
      </c>
      <c r="AA327" s="52">
        <f>('TE BE'!$AB$38+'TE BF'!$AB$38+'TE CVA'!$AB$38)*1*(1-0.03)</f>
        <v>149.33869153269211</v>
      </c>
      <c r="AB327" s="4">
        <f>$K$327*$V$327</f>
        <v>0</v>
      </c>
      <c r="AC327" s="4">
        <f>$M$327*$W$327</f>
        <v>3017.0207288000001</v>
      </c>
      <c r="AD327" s="4">
        <f>$O$327*$X$327</f>
        <v>1047.0150708000001</v>
      </c>
      <c r="AE327" s="4">
        <f>$K$327*$Y$327</f>
        <v>0</v>
      </c>
      <c r="AF327" s="4">
        <f ca="1">$M$327*$Z$327</f>
        <v>3464.1898388093987</v>
      </c>
      <c r="AG327" s="4">
        <f>$O$327*$AA$327</f>
        <v>1006.8414583134102</v>
      </c>
    </row>
    <row r="328" spans="1:33" ht="11.25" customHeight="1" x14ac:dyDescent="0.25">
      <c r="A328" s="3" t="s">
        <v>21</v>
      </c>
      <c r="B328" s="3" t="s">
        <v>33</v>
      </c>
      <c r="C328" s="3" t="s">
        <v>23</v>
      </c>
      <c r="D328" s="3" t="s">
        <v>47</v>
      </c>
      <c r="E328" s="3" t="s">
        <v>48</v>
      </c>
      <c r="F328" s="3" t="s">
        <v>25</v>
      </c>
      <c r="G328" s="3" t="s">
        <v>25</v>
      </c>
      <c r="H328" s="3" t="s">
        <v>25</v>
      </c>
      <c r="I328" s="6">
        <v>44652</v>
      </c>
      <c r="J328" s="4">
        <v>0</v>
      </c>
      <c r="K328" s="52">
        <v>0</v>
      </c>
      <c r="L328" s="4">
        <v>6.8230000000000004</v>
      </c>
      <c r="M328" s="52">
        <v>6.8230000000000004</v>
      </c>
      <c r="N328" s="4">
        <v>6.8230000000000004</v>
      </c>
      <c r="O328" s="52">
        <v>6.8230000000000004</v>
      </c>
      <c r="P328" s="4">
        <v>12</v>
      </c>
      <c r="Q328" s="3" t="s">
        <v>26</v>
      </c>
      <c r="R328" s="3">
        <v>0</v>
      </c>
      <c r="S328" s="4">
        <v>0</v>
      </c>
      <c r="T328" s="4">
        <v>50</v>
      </c>
      <c r="U328" s="4">
        <v>83</v>
      </c>
      <c r="V328" s="52">
        <f>IF(ISERROR(VLOOKUP($S$328,'TAR FIN'!$A$1:$O$88,15,0)),0,VLOOKUP($S$328,'TAR FIN'!$A$1:$O$88,15,0))</f>
        <v>0</v>
      </c>
      <c r="W328" s="52">
        <f>IF(ISERROR(VLOOKUP($T$328,'TAR FIN'!$A$1:$O$88,15,0)),0,VLOOKUP($T$328,'TAR FIN'!$A$1:$O$88,15,0))*(1-0.06)</f>
        <v>447.49639999999999</v>
      </c>
      <c r="X328" s="52">
        <f>IF(ISERROR(VLOOKUP($U$328,'TAR FIN'!$A$1:$O$88,15,0)),0,VLOOKUP($U$328,'TAR FIN'!$A$1:$O$88,15,0))*(1-0.06)</f>
        <v>155.29740000000001</v>
      </c>
      <c r="Y328" s="52"/>
      <c r="Z328" s="52">
        <f ca="1">('TUSD BE'!$AM$48+'TUSD BF'!$AM$48+'TUSD CVA'!$AM$48)*1*(1-0.03)</f>
        <v>513.8222840120734</v>
      </c>
      <c r="AA328" s="52">
        <f>('TE BE'!$AB$38+'TE BF'!$AB$38+'TE CVA'!$AB$38)*1*(1-0.03)</f>
        <v>149.33869153269211</v>
      </c>
      <c r="AB328" s="4">
        <f>$K$328*$V$328</f>
        <v>0</v>
      </c>
      <c r="AC328" s="4">
        <f>$M$328*$W$328</f>
        <v>3053.2679372000002</v>
      </c>
      <c r="AD328" s="4">
        <f>$O$328*$X$328</f>
        <v>1059.5941602</v>
      </c>
      <c r="AE328" s="4">
        <f>$K$328*$Y$328</f>
        <v>0</v>
      </c>
      <c r="AF328" s="4">
        <f ca="1">$M$328*$Z$328</f>
        <v>3505.8094438143771</v>
      </c>
      <c r="AG328" s="4">
        <f>$O$328*$AA$328</f>
        <v>1018.9378923275583</v>
      </c>
    </row>
    <row r="329" spans="1:33" ht="11.25" customHeight="1" x14ac:dyDescent="0.25">
      <c r="A329" s="3" t="s">
        <v>21</v>
      </c>
      <c r="B329" s="3" t="s">
        <v>33</v>
      </c>
      <c r="C329" s="3" t="s">
        <v>23</v>
      </c>
      <c r="D329" s="3" t="s">
        <v>47</v>
      </c>
      <c r="E329" s="3" t="s">
        <v>48</v>
      </c>
      <c r="F329" s="3" t="s">
        <v>25</v>
      </c>
      <c r="G329" s="3" t="s">
        <v>25</v>
      </c>
      <c r="H329" s="3" t="s">
        <v>25</v>
      </c>
      <c r="I329" s="6">
        <v>44682</v>
      </c>
      <c r="J329" s="4">
        <v>0</v>
      </c>
      <c r="K329" s="52">
        <v>0</v>
      </c>
      <c r="L329" s="4">
        <v>11.523</v>
      </c>
      <c r="M329" s="52">
        <v>11.523</v>
      </c>
      <c r="N329" s="4">
        <v>11.523</v>
      </c>
      <c r="O329" s="52">
        <v>11.523</v>
      </c>
      <c r="P329" s="4">
        <v>12</v>
      </c>
      <c r="Q329" s="3" t="s">
        <v>26</v>
      </c>
      <c r="R329" s="3">
        <v>0</v>
      </c>
      <c r="S329" s="4">
        <v>0</v>
      </c>
      <c r="T329" s="4">
        <v>50</v>
      </c>
      <c r="U329" s="4">
        <v>83</v>
      </c>
      <c r="V329" s="52">
        <f>IF(ISERROR(VLOOKUP($S$329,'TAR FIN'!$A$1:$O$88,15,0)),0,VLOOKUP($S$329,'TAR FIN'!$A$1:$O$88,15,0))</f>
        <v>0</v>
      </c>
      <c r="W329" s="52">
        <f>IF(ISERROR(VLOOKUP($T$329,'TAR FIN'!$A$1:$O$88,15,0)),0,VLOOKUP($T$329,'TAR FIN'!$A$1:$O$88,15,0))*(1-0.06)</f>
        <v>447.49639999999999</v>
      </c>
      <c r="X329" s="52">
        <f>IF(ISERROR(VLOOKUP($U$329,'TAR FIN'!$A$1:$O$88,15,0)),0,VLOOKUP($U$329,'TAR FIN'!$A$1:$O$88,15,0))*(1-0.06)</f>
        <v>155.29740000000001</v>
      </c>
      <c r="Y329" s="52"/>
      <c r="Z329" s="52">
        <f ca="1">('TUSD BE'!$AM$48+'TUSD BF'!$AM$48+'TUSD CVA'!$AM$48)*1*(1-0.03)</f>
        <v>513.8222840120734</v>
      </c>
      <c r="AA329" s="52">
        <f>('TE BE'!$AB$38+'TE BF'!$AB$38+'TE CVA'!$AB$38)*1*(1-0.03)</f>
        <v>149.33869153269211</v>
      </c>
      <c r="AB329" s="4">
        <f>$K$329*$V$329</f>
        <v>0</v>
      </c>
      <c r="AC329" s="4">
        <f>$M$329*$W$329</f>
        <v>5156.5010172000002</v>
      </c>
      <c r="AD329" s="4">
        <f>$O$329*$X$329</f>
        <v>1789.4919402</v>
      </c>
      <c r="AE329" s="4">
        <f>$K$329*$Y$329</f>
        <v>0</v>
      </c>
      <c r="AF329" s="4">
        <f ca="1">$M$329*$Z$329</f>
        <v>5920.7741786711213</v>
      </c>
      <c r="AG329" s="4">
        <f>$O$329*$AA$329</f>
        <v>1720.8297425312112</v>
      </c>
    </row>
    <row r="330" spans="1:33" ht="11.25" customHeight="1" x14ac:dyDescent="0.25">
      <c r="A330" s="3" t="s">
        <v>21</v>
      </c>
      <c r="B330" s="3" t="s">
        <v>33</v>
      </c>
      <c r="C330" s="3" t="s">
        <v>23</v>
      </c>
      <c r="D330" s="3" t="s">
        <v>47</v>
      </c>
      <c r="E330" s="3" t="s">
        <v>48</v>
      </c>
      <c r="F330" s="3" t="s">
        <v>25</v>
      </c>
      <c r="G330" s="3" t="s">
        <v>25</v>
      </c>
      <c r="H330" s="3" t="s">
        <v>25</v>
      </c>
      <c r="I330" s="6">
        <v>44713</v>
      </c>
      <c r="J330" s="4">
        <v>0</v>
      </c>
      <c r="K330" s="52">
        <v>0</v>
      </c>
      <c r="L330" s="4">
        <v>5.4969999999999999</v>
      </c>
      <c r="M330" s="52">
        <v>5.4969999999999999</v>
      </c>
      <c r="N330" s="4">
        <v>5.4969999999999999</v>
      </c>
      <c r="O330" s="52">
        <v>5.4969999999999999</v>
      </c>
      <c r="P330" s="4">
        <v>14</v>
      </c>
      <c r="Q330" s="3" t="s">
        <v>26</v>
      </c>
      <c r="R330" s="3">
        <v>0</v>
      </c>
      <c r="S330" s="4">
        <v>0</v>
      </c>
      <c r="T330" s="4">
        <v>50</v>
      </c>
      <c r="U330" s="4">
        <v>83</v>
      </c>
      <c r="V330" s="52">
        <f>IF(ISERROR(VLOOKUP($S$330,'TAR FIN'!$A$1:$O$88,15,0)),0,VLOOKUP($S$330,'TAR FIN'!$A$1:$O$88,15,0))</f>
        <v>0</v>
      </c>
      <c r="W330" s="52">
        <f>IF(ISERROR(VLOOKUP($T$330,'TAR FIN'!$A$1:$O$88,15,0)),0,VLOOKUP($T$330,'TAR FIN'!$A$1:$O$88,15,0))*(1-0.06)</f>
        <v>447.49639999999999</v>
      </c>
      <c r="X330" s="52">
        <f>IF(ISERROR(VLOOKUP($U$330,'TAR FIN'!$A$1:$O$88,15,0)),0,VLOOKUP($U$330,'TAR FIN'!$A$1:$O$88,15,0))*(1-0.06)</f>
        <v>155.29740000000001</v>
      </c>
      <c r="Y330" s="52"/>
      <c r="Z330" s="52">
        <f ca="1">('TUSD BE'!$AM$48+'TUSD BF'!$AM$48+'TUSD CVA'!$AM$48)*1*(1-0.03)</f>
        <v>513.8222840120734</v>
      </c>
      <c r="AA330" s="52">
        <f>('TE BE'!$AB$38+'TE BF'!$AB$38+'TE CVA'!$AB$38)*1*(1-0.03)</f>
        <v>149.33869153269211</v>
      </c>
      <c r="AB330" s="4">
        <f>$K$330*$V$330</f>
        <v>0</v>
      </c>
      <c r="AC330" s="4">
        <f>$M$330*$W$330</f>
        <v>2459.8877107999997</v>
      </c>
      <c r="AD330" s="4">
        <f>$O$330*$X$330</f>
        <v>853.66980780000006</v>
      </c>
      <c r="AE330" s="4">
        <f>$K$330*$Y$330</f>
        <v>0</v>
      </c>
      <c r="AF330" s="4">
        <f ca="1">$M$330*$Z$330</f>
        <v>2824.4810952143675</v>
      </c>
      <c r="AG330" s="4">
        <f>$O$330*$AA$330</f>
        <v>820.91478735520855</v>
      </c>
    </row>
    <row r="331" spans="1:33" ht="11.25" customHeight="1" x14ac:dyDescent="0.25">
      <c r="A331" s="3" t="s">
        <v>21</v>
      </c>
      <c r="B331" s="3" t="s">
        <v>33</v>
      </c>
      <c r="C331" s="3" t="s">
        <v>23</v>
      </c>
      <c r="D331" s="3" t="s">
        <v>47</v>
      </c>
      <c r="E331" s="3" t="s">
        <v>48</v>
      </c>
      <c r="F331" s="3" t="s">
        <v>25</v>
      </c>
      <c r="G331" s="3" t="s">
        <v>25</v>
      </c>
      <c r="H331" s="3" t="s">
        <v>25</v>
      </c>
      <c r="I331" s="6">
        <v>44743</v>
      </c>
      <c r="J331" s="4">
        <v>0</v>
      </c>
      <c r="K331" s="52">
        <v>0</v>
      </c>
      <c r="L331" s="4">
        <v>6.97</v>
      </c>
      <c r="M331" s="52">
        <v>6.97</v>
      </c>
      <c r="N331" s="4">
        <v>6.97</v>
      </c>
      <c r="O331" s="52">
        <v>6.97</v>
      </c>
      <c r="P331" s="4">
        <v>12</v>
      </c>
      <c r="Q331" s="3" t="s">
        <v>26</v>
      </c>
      <c r="R331" s="3">
        <v>0</v>
      </c>
      <c r="S331" s="4">
        <v>0</v>
      </c>
      <c r="T331" s="4">
        <v>50</v>
      </c>
      <c r="U331" s="4">
        <v>83</v>
      </c>
      <c r="V331" s="52">
        <f>IF(ISERROR(VLOOKUP($S$331,'TAR FIN'!$A$1:$O$88,15,0)),0,VLOOKUP($S$331,'TAR FIN'!$A$1:$O$88,15,0))</f>
        <v>0</v>
      </c>
      <c r="W331" s="52">
        <f>IF(ISERROR(VLOOKUP($T$331,'TAR FIN'!$A$1:$O$88,15,0)),0,VLOOKUP($T$331,'TAR FIN'!$A$1:$O$88,15,0))*(1-0.06)</f>
        <v>447.49639999999999</v>
      </c>
      <c r="X331" s="52">
        <f>IF(ISERROR(VLOOKUP($U$331,'TAR FIN'!$A$1:$O$88,15,0)),0,VLOOKUP($U$331,'TAR FIN'!$A$1:$O$88,15,0))*(1-0.06)</f>
        <v>155.29740000000001</v>
      </c>
      <c r="Y331" s="52"/>
      <c r="Z331" s="52">
        <f ca="1">('TUSD BE'!$AM$48+'TUSD BF'!$AM$48+'TUSD CVA'!$AM$48)*1*(1-0.03)</f>
        <v>513.8222840120734</v>
      </c>
      <c r="AA331" s="52">
        <f>('TE BE'!$AB$38+'TE BF'!$AB$38+'TE CVA'!$AB$38)*1*(1-0.03)</f>
        <v>149.33869153269211</v>
      </c>
      <c r="AB331" s="4">
        <f>$K$331*$V$331</f>
        <v>0</v>
      </c>
      <c r="AC331" s="4">
        <f>$M$331*$W$331</f>
        <v>3119.049908</v>
      </c>
      <c r="AD331" s="4">
        <f>$O$331*$X$331</f>
        <v>1082.4228780000001</v>
      </c>
      <c r="AE331" s="4">
        <f>$K$331*$Y$331</f>
        <v>0</v>
      </c>
      <c r="AF331" s="4">
        <f ca="1">$M$331*$Z$331</f>
        <v>3581.3413195641515</v>
      </c>
      <c r="AG331" s="4">
        <f>$O$331*$AA$331</f>
        <v>1040.890679982864</v>
      </c>
    </row>
    <row r="332" spans="1:33" ht="11.25" customHeight="1" x14ac:dyDescent="0.25">
      <c r="A332" s="3" t="s">
        <v>21</v>
      </c>
      <c r="B332" s="3" t="s">
        <v>33</v>
      </c>
      <c r="C332" s="3" t="s">
        <v>23</v>
      </c>
      <c r="D332" s="3" t="s">
        <v>47</v>
      </c>
      <c r="E332" s="3" t="s">
        <v>48</v>
      </c>
      <c r="F332" s="3" t="s">
        <v>25</v>
      </c>
      <c r="G332" s="3" t="s">
        <v>25</v>
      </c>
      <c r="H332" s="3" t="s">
        <v>25</v>
      </c>
      <c r="I332" s="6">
        <v>44774</v>
      </c>
      <c r="J332" s="4">
        <v>0</v>
      </c>
      <c r="K332" s="52">
        <v>0</v>
      </c>
      <c r="L332" s="4">
        <v>10.010999999999999</v>
      </c>
      <c r="M332" s="52">
        <v>10.010999999999999</v>
      </c>
      <c r="N332" s="4">
        <v>10.010999999999999</v>
      </c>
      <c r="O332" s="52">
        <v>10.010999999999999</v>
      </c>
      <c r="P332" s="4">
        <v>12</v>
      </c>
      <c r="Q332" s="3" t="s">
        <v>26</v>
      </c>
      <c r="R332" s="3">
        <v>0</v>
      </c>
      <c r="S332" s="4">
        <v>0</v>
      </c>
      <c r="T332" s="4">
        <v>50</v>
      </c>
      <c r="U332" s="4">
        <v>83</v>
      </c>
      <c r="V332" s="52">
        <f>IF(ISERROR(VLOOKUP($S$332,'TAR FIN'!$A$1:$O$88,15,0)),0,VLOOKUP($S$332,'TAR FIN'!$A$1:$O$88,15,0))</f>
        <v>0</v>
      </c>
      <c r="W332" s="52">
        <f>IF(ISERROR(VLOOKUP($T$332,'TAR FIN'!$A$1:$O$88,15,0)),0,VLOOKUP($T$332,'TAR FIN'!$A$1:$O$88,15,0))*(1-0.06)</f>
        <v>447.49639999999999</v>
      </c>
      <c r="X332" s="52">
        <f>IF(ISERROR(VLOOKUP($U$332,'TAR FIN'!$A$1:$O$88,15,0)),0,VLOOKUP($U$332,'TAR FIN'!$A$1:$O$88,15,0))*(1-0.06)</f>
        <v>155.29740000000001</v>
      </c>
      <c r="Y332" s="52"/>
      <c r="Z332" s="52">
        <f ca="1">('TUSD BE'!$AM$48+'TUSD BF'!$AM$48+'TUSD CVA'!$AM$48)*1*(1-0.03)</f>
        <v>513.8222840120734</v>
      </c>
      <c r="AA332" s="52">
        <f>('TE BE'!$AB$38+'TE BF'!$AB$38+'TE CVA'!$AB$38)*1*(1-0.03)</f>
        <v>149.33869153269211</v>
      </c>
      <c r="AB332" s="4">
        <f>$K$332*$V$332</f>
        <v>0</v>
      </c>
      <c r="AC332" s="4">
        <f>$M$332*$W$332</f>
        <v>4479.8864604</v>
      </c>
      <c r="AD332" s="4">
        <f>$O$332*$X$332</f>
        <v>1554.6822714</v>
      </c>
      <c r="AE332" s="4">
        <f>$K$332*$Y$332</f>
        <v>0</v>
      </c>
      <c r="AF332" s="4">
        <f ca="1">$M$332*$Z$332</f>
        <v>5143.8748852448662</v>
      </c>
      <c r="AG332" s="4">
        <f>$O$332*$AA$332</f>
        <v>1495.0296409337807</v>
      </c>
    </row>
    <row r="333" spans="1:33" ht="11.25" customHeight="1" x14ac:dyDescent="0.25">
      <c r="A333" s="3" t="s">
        <v>21</v>
      </c>
      <c r="B333" s="3" t="s">
        <v>43</v>
      </c>
      <c r="C333" s="3" t="s">
        <v>23</v>
      </c>
      <c r="D333" s="3" t="s">
        <v>44</v>
      </c>
      <c r="E333" s="3" t="s">
        <v>45</v>
      </c>
      <c r="F333" s="3" t="s">
        <v>25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159.626</v>
      </c>
      <c r="M333" s="4">
        <v>159.626</v>
      </c>
      <c r="N333" s="4">
        <v>159.626</v>
      </c>
      <c r="O333" s="4">
        <v>159.626</v>
      </c>
      <c r="P333" s="4">
        <v>8</v>
      </c>
      <c r="Q333" s="3" t="s">
        <v>26</v>
      </c>
      <c r="R333" s="3">
        <v>0</v>
      </c>
      <c r="S333" s="4">
        <v>0</v>
      </c>
      <c r="T333" s="4">
        <v>33</v>
      </c>
      <c r="U333" s="4">
        <v>85</v>
      </c>
      <c r="V333" s="4">
        <f>IF(ISERROR(VLOOKUP($S$333,'TAR FIN'!$A$1:$O$88,15,0)),0,VLOOKUP($S$333,'TAR FIN'!$A$1:$O$88,15,0))</f>
        <v>0</v>
      </c>
      <c r="W333" s="4">
        <f>IF(ISERROR(VLOOKUP($T$333,'TAR FIN'!$A$1:$O$88,15,0)),0,VLOOKUP($T$333,'TAR FIN'!$A$1:$O$88,15,0))</f>
        <v>261.83</v>
      </c>
      <c r="X333" s="4">
        <f>IF(ISERROR(VLOOKUP($U$333,'TAR FIN'!$A$1:$O$88,15,0)),0,VLOOKUP($U$333,'TAR FIN'!$A$1:$O$88,15,0))</f>
        <v>90.86</v>
      </c>
      <c r="Y333" s="4"/>
      <c r="Z333" s="4">
        <f ca="1">('TUSD BE'!$AM$50+'TUSD BF'!$AM$50+'TUSD CVA'!$AM$50)*1</f>
        <v>291.34253217179423</v>
      </c>
      <c r="AA333" s="4">
        <f>('TE BE'!$AB$40+'TE BF'!$AB$40+'TE CVA'!$AB$40)*1</f>
        <v>84.676577673175942</v>
      </c>
      <c r="AB333" s="4">
        <f>$K$333*$V$333</f>
        <v>0</v>
      </c>
      <c r="AC333" s="4">
        <f>$M$333*$W$333</f>
        <v>41794.87558</v>
      </c>
      <c r="AD333" s="4">
        <f>$O$333*$X$333</f>
        <v>14503.61836</v>
      </c>
      <c r="AE333" s="4">
        <f>$K$333*$Y$333</f>
        <v>0</v>
      </c>
      <c r="AF333" s="4">
        <f ca="1">$M$333*$Z$333</f>
        <v>46505.843040454827</v>
      </c>
      <c r="AG333" s="4">
        <f>$O$333*$AA$333</f>
        <v>13516.583387658384</v>
      </c>
    </row>
    <row r="334" spans="1:33" ht="11.25" customHeight="1" x14ac:dyDescent="0.25">
      <c r="A334" s="3" t="s">
        <v>21</v>
      </c>
      <c r="B334" s="3" t="s">
        <v>43</v>
      </c>
      <c r="C334" s="3" t="s">
        <v>23</v>
      </c>
      <c r="D334" s="3" t="s">
        <v>44</v>
      </c>
      <c r="E334" s="3" t="s">
        <v>45</v>
      </c>
      <c r="F334" s="3" t="s">
        <v>25</v>
      </c>
      <c r="G334" s="3" t="s">
        <v>25</v>
      </c>
      <c r="H334" s="3" t="s">
        <v>25</v>
      </c>
      <c r="I334" s="6">
        <v>44470</v>
      </c>
      <c r="J334" s="4">
        <v>0</v>
      </c>
      <c r="K334" s="4">
        <v>0</v>
      </c>
      <c r="L334" s="4">
        <v>166.33199999999999</v>
      </c>
      <c r="M334" s="4">
        <v>166.33199999999999</v>
      </c>
      <c r="N334" s="4">
        <v>166.33199999999999</v>
      </c>
      <c r="O334" s="4">
        <v>166.33199999999999</v>
      </c>
      <c r="P334" s="4">
        <v>10</v>
      </c>
      <c r="Q334" s="3" t="s">
        <v>26</v>
      </c>
      <c r="R334" s="3">
        <v>0</v>
      </c>
      <c r="S334" s="4">
        <v>0</v>
      </c>
      <c r="T334" s="4">
        <v>33</v>
      </c>
      <c r="U334" s="4">
        <v>85</v>
      </c>
      <c r="V334" s="4">
        <f>IF(ISERROR(VLOOKUP($S$334,'TAR FIN'!$A$1:$O$88,15,0)),0,VLOOKUP($S$334,'TAR FIN'!$A$1:$O$88,15,0))</f>
        <v>0</v>
      </c>
      <c r="W334" s="4">
        <f>IF(ISERROR(VLOOKUP($T$334,'TAR FIN'!$A$1:$O$88,15,0)),0,VLOOKUP($T$334,'TAR FIN'!$A$1:$O$88,15,0))</f>
        <v>261.83</v>
      </c>
      <c r="X334" s="4">
        <f>IF(ISERROR(VLOOKUP($U$334,'TAR FIN'!$A$1:$O$88,15,0)),0,VLOOKUP($U$334,'TAR FIN'!$A$1:$O$88,15,0))</f>
        <v>90.86</v>
      </c>
      <c r="Y334" s="4"/>
      <c r="Z334" s="4">
        <f ca="1">('TUSD BE'!$AM$50+'TUSD BF'!$AM$50+'TUSD CVA'!$AM$50)*1</f>
        <v>291.34253217179423</v>
      </c>
      <c r="AA334" s="4">
        <f>('TE BE'!$AB$40+'TE BF'!$AB$40+'TE CVA'!$AB$40)*1</f>
        <v>84.676577673175942</v>
      </c>
      <c r="AB334" s="4">
        <f>$K$334*$V$334</f>
        <v>0</v>
      </c>
      <c r="AC334" s="4">
        <f>$M$334*$W$334</f>
        <v>43550.707559999995</v>
      </c>
      <c r="AD334" s="4">
        <f>$O$334*$X$334</f>
        <v>15112.925519999999</v>
      </c>
      <c r="AE334" s="4">
        <f>$K$334*$Y$334</f>
        <v>0</v>
      </c>
      <c r="AF334" s="4">
        <f ca="1">$M$334*$Z$334</f>
        <v>48459.586061198876</v>
      </c>
      <c r="AG334" s="4">
        <f>$O$334*$AA$334</f>
        <v>14084.4245175347</v>
      </c>
    </row>
    <row r="335" spans="1:33" ht="11.25" customHeight="1" x14ac:dyDescent="0.25">
      <c r="A335" s="3" t="s">
        <v>21</v>
      </c>
      <c r="B335" s="3" t="s">
        <v>43</v>
      </c>
      <c r="C335" s="3" t="s">
        <v>23</v>
      </c>
      <c r="D335" s="3" t="s">
        <v>44</v>
      </c>
      <c r="E335" s="3" t="s">
        <v>45</v>
      </c>
      <c r="F335" s="3" t="s">
        <v>25</v>
      </c>
      <c r="G335" s="3" t="s">
        <v>25</v>
      </c>
      <c r="H335" s="3" t="s">
        <v>25</v>
      </c>
      <c r="I335" s="6">
        <v>44501</v>
      </c>
      <c r="J335" s="4">
        <v>0</v>
      </c>
      <c r="K335" s="4">
        <v>0</v>
      </c>
      <c r="L335" s="4">
        <v>161.327</v>
      </c>
      <c r="M335" s="4">
        <v>161.327</v>
      </c>
      <c r="N335" s="4">
        <v>161.327</v>
      </c>
      <c r="O335" s="4">
        <v>161.327</v>
      </c>
      <c r="P335" s="4">
        <v>10</v>
      </c>
      <c r="Q335" s="3" t="s">
        <v>26</v>
      </c>
      <c r="R335" s="3">
        <v>0</v>
      </c>
      <c r="S335" s="4">
        <v>0</v>
      </c>
      <c r="T335" s="4">
        <v>33</v>
      </c>
      <c r="U335" s="4">
        <v>85</v>
      </c>
      <c r="V335" s="4">
        <f>IF(ISERROR(VLOOKUP($S$335,'TAR FIN'!$A$1:$O$88,15,0)),0,VLOOKUP($S$335,'TAR FIN'!$A$1:$O$88,15,0))</f>
        <v>0</v>
      </c>
      <c r="W335" s="4">
        <f>IF(ISERROR(VLOOKUP($T$335,'TAR FIN'!$A$1:$O$88,15,0)),0,VLOOKUP($T$335,'TAR FIN'!$A$1:$O$88,15,0))</f>
        <v>261.83</v>
      </c>
      <c r="X335" s="4">
        <f>IF(ISERROR(VLOOKUP($U$335,'TAR FIN'!$A$1:$O$88,15,0)),0,VLOOKUP($U$335,'TAR FIN'!$A$1:$O$88,15,0))</f>
        <v>90.86</v>
      </c>
      <c r="Y335" s="4"/>
      <c r="Z335" s="4">
        <f ca="1">('TUSD BE'!$AM$50+'TUSD BF'!$AM$50+'TUSD CVA'!$AM$50)*1</f>
        <v>291.34253217179423</v>
      </c>
      <c r="AA335" s="4">
        <f>('TE BE'!$AB$40+'TE BF'!$AB$40+'TE CVA'!$AB$40)*1</f>
        <v>84.676577673175942</v>
      </c>
      <c r="AB335" s="4">
        <f>$K$335*$V$335</f>
        <v>0</v>
      </c>
      <c r="AC335" s="4">
        <f>$M$335*$W$335</f>
        <v>42240.24841</v>
      </c>
      <c r="AD335" s="4">
        <f>$O$335*$X$335</f>
        <v>14658.17122</v>
      </c>
      <c r="AE335" s="4">
        <f>$K$335*$Y$335</f>
        <v>0</v>
      </c>
      <c r="AF335" s="4">
        <f ca="1">$M$335*$Z$335</f>
        <v>47001.416687679048</v>
      </c>
      <c r="AG335" s="4">
        <f>$O$335*$AA$335</f>
        <v>13660.618246280455</v>
      </c>
    </row>
    <row r="336" spans="1:33" ht="11.25" customHeight="1" x14ac:dyDescent="0.25">
      <c r="A336" s="3" t="s">
        <v>21</v>
      </c>
      <c r="B336" s="3" t="s">
        <v>43</v>
      </c>
      <c r="C336" s="3" t="s">
        <v>23</v>
      </c>
      <c r="D336" s="3" t="s">
        <v>44</v>
      </c>
      <c r="E336" s="3" t="s">
        <v>45</v>
      </c>
      <c r="F336" s="3" t="s">
        <v>25</v>
      </c>
      <c r="G336" s="3" t="s">
        <v>25</v>
      </c>
      <c r="H336" s="3" t="s">
        <v>25</v>
      </c>
      <c r="I336" s="6">
        <v>44531</v>
      </c>
      <c r="J336" s="4">
        <v>0</v>
      </c>
      <c r="K336" s="4">
        <v>0</v>
      </c>
      <c r="L336" s="4">
        <v>165.21700000000001</v>
      </c>
      <c r="M336" s="4">
        <v>165.21700000000001</v>
      </c>
      <c r="N336" s="4">
        <v>165.21700000000001</v>
      </c>
      <c r="O336" s="4">
        <v>165.21700000000001</v>
      </c>
      <c r="P336" s="4">
        <v>8</v>
      </c>
      <c r="Q336" s="3" t="s">
        <v>26</v>
      </c>
      <c r="R336" s="3">
        <v>0</v>
      </c>
      <c r="S336" s="4">
        <v>0</v>
      </c>
      <c r="T336" s="4">
        <v>33</v>
      </c>
      <c r="U336" s="4">
        <v>85</v>
      </c>
      <c r="V336" s="4">
        <f>IF(ISERROR(VLOOKUP($S$336,'TAR FIN'!$A$1:$O$88,15,0)),0,VLOOKUP($S$336,'TAR FIN'!$A$1:$O$88,15,0))</f>
        <v>0</v>
      </c>
      <c r="W336" s="4">
        <f>IF(ISERROR(VLOOKUP($T$336,'TAR FIN'!$A$1:$O$88,15,0)),0,VLOOKUP($T$336,'TAR FIN'!$A$1:$O$88,15,0))</f>
        <v>261.83</v>
      </c>
      <c r="X336" s="4">
        <f>IF(ISERROR(VLOOKUP($U$336,'TAR FIN'!$A$1:$O$88,15,0)),0,VLOOKUP($U$336,'TAR FIN'!$A$1:$O$88,15,0))</f>
        <v>90.86</v>
      </c>
      <c r="Y336" s="4"/>
      <c r="Z336" s="4">
        <f ca="1">('TUSD BE'!$AM$50+'TUSD BF'!$AM$50+'TUSD CVA'!$AM$50)*1</f>
        <v>291.34253217179423</v>
      </c>
      <c r="AA336" s="4">
        <f>('TE BE'!$AB$40+'TE BF'!$AB$40+'TE CVA'!$AB$40)*1</f>
        <v>84.676577673175942</v>
      </c>
      <c r="AB336" s="4">
        <f>$K$336*$V$336</f>
        <v>0</v>
      </c>
      <c r="AC336" s="4">
        <f>$M$336*$W$336</f>
        <v>43258.767110000001</v>
      </c>
      <c r="AD336" s="4">
        <f>$O$336*$X$336</f>
        <v>15011.616620000001</v>
      </c>
      <c r="AE336" s="4">
        <f>$K$336*$Y$336</f>
        <v>0</v>
      </c>
      <c r="AF336" s="4">
        <f ca="1">$M$336*$Z$336</f>
        <v>48134.739137827331</v>
      </c>
      <c r="AG336" s="4">
        <f>$O$336*$AA$336</f>
        <v>13990.01013342911</v>
      </c>
    </row>
    <row r="337" spans="1:33" ht="11.25" customHeight="1" x14ac:dyDescent="0.25">
      <c r="A337" s="3" t="s">
        <v>21</v>
      </c>
      <c r="B337" s="3" t="s">
        <v>43</v>
      </c>
      <c r="C337" s="3" t="s">
        <v>23</v>
      </c>
      <c r="D337" s="3" t="s">
        <v>44</v>
      </c>
      <c r="E337" s="3" t="s">
        <v>45</v>
      </c>
      <c r="F337" s="3" t="s">
        <v>25</v>
      </c>
      <c r="G337" s="3" t="s">
        <v>25</v>
      </c>
      <c r="H337" s="3" t="s">
        <v>25</v>
      </c>
      <c r="I337" s="6">
        <v>44562</v>
      </c>
      <c r="J337" s="4">
        <v>0</v>
      </c>
      <c r="K337" s="4">
        <v>0</v>
      </c>
      <c r="L337" s="4">
        <v>167.01499999999999</v>
      </c>
      <c r="M337" s="4">
        <v>167.01499999999999</v>
      </c>
      <c r="N337" s="4">
        <v>167.01499999999999</v>
      </c>
      <c r="O337" s="4">
        <v>167.01499999999999</v>
      </c>
      <c r="P337" s="4">
        <v>9</v>
      </c>
      <c r="Q337" s="3" t="s">
        <v>26</v>
      </c>
      <c r="R337" s="3">
        <v>0</v>
      </c>
      <c r="S337" s="4">
        <v>0</v>
      </c>
      <c r="T337" s="4">
        <v>33</v>
      </c>
      <c r="U337" s="4">
        <v>85</v>
      </c>
      <c r="V337" s="4">
        <f>IF(ISERROR(VLOOKUP($S$337,'TAR FIN'!$A$1:$O$88,15,0)),0,VLOOKUP($S$337,'TAR FIN'!$A$1:$O$88,15,0))</f>
        <v>0</v>
      </c>
      <c r="W337" s="4">
        <f>IF(ISERROR(VLOOKUP($T$337,'TAR FIN'!$A$1:$O$88,15,0)),0,VLOOKUP($T$337,'TAR FIN'!$A$1:$O$88,15,0))</f>
        <v>261.83</v>
      </c>
      <c r="X337" s="4">
        <f>IF(ISERROR(VLOOKUP($U$337,'TAR FIN'!$A$1:$O$88,15,0)),0,VLOOKUP($U$337,'TAR FIN'!$A$1:$O$88,15,0))</f>
        <v>90.86</v>
      </c>
      <c r="Y337" s="4"/>
      <c r="Z337" s="4">
        <f ca="1">('TUSD BE'!$AM$50+'TUSD BF'!$AM$50+'TUSD CVA'!$AM$50)*1</f>
        <v>291.34253217179423</v>
      </c>
      <c r="AA337" s="4">
        <f>('TE BE'!$AB$40+'TE BF'!$AB$40+'TE CVA'!$AB$40)*1</f>
        <v>84.676577673175942</v>
      </c>
      <c r="AB337" s="4">
        <f>$K$337*$V$337</f>
        <v>0</v>
      </c>
      <c r="AC337" s="4">
        <f>$M$337*$W$337</f>
        <v>43729.537449999996</v>
      </c>
      <c r="AD337" s="4">
        <f>$O$337*$X$337</f>
        <v>15174.982899999999</v>
      </c>
      <c r="AE337" s="4">
        <f>$K$337*$Y$337</f>
        <v>0</v>
      </c>
      <c r="AF337" s="4">
        <f ca="1">$M$337*$Z$337</f>
        <v>48658.573010672211</v>
      </c>
      <c r="AG337" s="4">
        <f>$O$337*$AA$337</f>
        <v>14142.258620085478</v>
      </c>
    </row>
    <row r="338" spans="1:33" ht="11.25" customHeight="1" x14ac:dyDescent="0.25">
      <c r="A338" s="3" t="s">
        <v>21</v>
      </c>
      <c r="B338" s="3" t="s">
        <v>43</v>
      </c>
      <c r="C338" s="3" t="s">
        <v>23</v>
      </c>
      <c r="D338" s="3" t="s">
        <v>44</v>
      </c>
      <c r="E338" s="3" t="s">
        <v>45</v>
      </c>
      <c r="F338" s="3" t="s">
        <v>25</v>
      </c>
      <c r="G338" s="3" t="s">
        <v>25</v>
      </c>
      <c r="H338" s="3" t="s">
        <v>25</v>
      </c>
      <c r="I338" s="6">
        <v>44593</v>
      </c>
      <c r="J338" s="4">
        <v>0</v>
      </c>
      <c r="K338" s="4">
        <v>0</v>
      </c>
      <c r="L338" s="4">
        <v>149.13200000000001</v>
      </c>
      <c r="M338" s="4">
        <v>149.13200000000001</v>
      </c>
      <c r="N338" s="4">
        <v>149.13200000000001</v>
      </c>
      <c r="O338" s="4">
        <v>149.13200000000001</v>
      </c>
      <c r="P338" s="4">
        <v>8</v>
      </c>
      <c r="Q338" s="3" t="s">
        <v>26</v>
      </c>
      <c r="R338" s="3">
        <v>0</v>
      </c>
      <c r="S338" s="4">
        <v>0</v>
      </c>
      <c r="T338" s="4">
        <v>33</v>
      </c>
      <c r="U338" s="4">
        <v>85</v>
      </c>
      <c r="V338" s="4">
        <f>IF(ISERROR(VLOOKUP($S$338,'TAR FIN'!$A$1:$O$88,15,0)),0,VLOOKUP($S$338,'TAR FIN'!$A$1:$O$88,15,0))</f>
        <v>0</v>
      </c>
      <c r="W338" s="4">
        <f>IF(ISERROR(VLOOKUP($T$338,'TAR FIN'!$A$1:$O$88,15,0)),0,VLOOKUP($T$338,'TAR FIN'!$A$1:$O$88,15,0))</f>
        <v>261.83</v>
      </c>
      <c r="X338" s="4">
        <f>IF(ISERROR(VLOOKUP($U$338,'TAR FIN'!$A$1:$O$88,15,0)),0,VLOOKUP($U$338,'TAR FIN'!$A$1:$O$88,15,0))</f>
        <v>90.86</v>
      </c>
      <c r="Y338" s="4"/>
      <c r="Z338" s="4">
        <f ca="1">('TUSD BE'!$AM$50+'TUSD BF'!$AM$50+'TUSD CVA'!$AM$50)*1</f>
        <v>291.34253217179423</v>
      </c>
      <c r="AA338" s="4">
        <f>('TE BE'!$AB$40+'TE BF'!$AB$40+'TE CVA'!$AB$40)*1</f>
        <v>84.676577673175942</v>
      </c>
      <c r="AB338" s="4">
        <f>$K$338*$V$338</f>
        <v>0</v>
      </c>
      <c r="AC338" s="4">
        <f>$M$338*$W$338</f>
        <v>39047.23156</v>
      </c>
      <c r="AD338" s="4">
        <f>$O$338*$X$338</f>
        <v>13550.133520000001</v>
      </c>
      <c r="AE338" s="4">
        <f>$K$338*$Y$338</f>
        <v>0</v>
      </c>
      <c r="AF338" s="4">
        <f ca="1">$M$338*$Z$338</f>
        <v>43448.494507844021</v>
      </c>
      <c r="AG338" s="4">
        <f>$O$338*$AA$338</f>
        <v>12627.987381556075</v>
      </c>
    </row>
    <row r="339" spans="1:33" ht="11.25" customHeight="1" x14ac:dyDescent="0.25">
      <c r="A339" s="3" t="s">
        <v>21</v>
      </c>
      <c r="B339" s="3" t="s">
        <v>43</v>
      </c>
      <c r="C339" s="3" t="s">
        <v>23</v>
      </c>
      <c r="D339" s="3" t="s">
        <v>44</v>
      </c>
      <c r="E339" s="3" t="s">
        <v>45</v>
      </c>
      <c r="F339" s="3" t="s">
        <v>25</v>
      </c>
      <c r="G339" s="3" t="s">
        <v>25</v>
      </c>
      <c r="H339" s="3" t="s">
        <v>25</v>
      </c>
      <c r="I339" s="6">
        <v>44621</v>
      </c>
      <c r="J339" s="4">
        <v>0</v>
      </c>
      <c r="K339" s="4">
        <v>0</v>
      </c>
      <c r="L339" s="4">
        <v>165.19800000000001</v>
      </c>
      <c r="M339" s="4">
        <v>165.19800000000001</v>
      </c>
      <c r="N339" s="4">
        <v>165.19800000000001</v>
      </c>
      <c r="O339" s="4">
        <v>165.19800000000001</v>
      </c>
      <c r="P339" s="4">
        <v>8</v>
      </c>
      <c r="Q339" s="3" t="s">
        <v>26</v>
      </c>
      <c r="R339" s="3">
        <v>0</v>
      </c>
      <c r="S339" s="4">
        <v>0</v>
      </c>
      <c r="T339" s="4">
        <v>33</v>
      </c>
      <c r="U339" s="4">
        <v>85</v>
      </c>
      <c r="V339" s="4">
        <f>IF(ISERROR(VLOOKUP($S$339,'TAR FIN'!$A$1:$O$88,15,0)),0,VLOOKUP($S$339,'TAR FIN'!$A$1:$O$88,15,0))</f>
        <v>0</v>
      </c>
      <c r="W339" s="4">
        <f>IF(ISERROR(VLOOKUP($T$339,'TAR FIN'!$A$1:$O$88,15,0)),0,VLOOKUP($T$339,'TAR FIN'!$A$1:$O$88,15,0))</f>
        <v>261.83</v>
      </c>
      <c r="X339" s="4">
        <f>IF(ISERROR(VLOOKUP($U$339,'TAR FIN'!$A$1:$O$88,15,0)),0,VLOOKUP($U$339,'TAR FIN'!$A$1:$O$88,15,0))</f>
        <v>90.86</v>
      </c>
      <c r="Y339" s="4"/>
      <c r="Z339" s="4">
        <f ca="1">('TUSD BE'!$AM$50+'TUSD BF'!$AM$50+'TUSD CVA'!$AM$50)*1</f>
        <v>291.34253217179423</v>
      </c>
      <c r="AA339" s="4">
        <f>('TE BE'!$AB$40+'TE BF'!$AB$40+'TE CVA'!$AB$40)*1</f>
        <v>84.676577673175942</v>
      </c>
      <c r="AB339" s="4">
        <f>$K$339*$V$339</f>
        <v>0</v>
      </c>
      <c r="AC339" s="4">
        <f>$M$339*$W$339</f>
        <v>43253.79234</v>
      </c>
      <c r="AD339" s="4">
        <f>$O$339*$X$339</f>
        <v>15009.890280000001</v>
      </c>
      <c r="AE339" s="4">
        <f>$K$339*$Y$339</f>
        <v>0</v>
      </c>
      <c r="AF339" s="4">
        <f ca="1">$M$339*$Z$339</f>
        <v>48129.203629716067</v>
      </c>
      <c r="AG339" s="4">
        <f>$O$339*$AA$339</f>
        <v>13988.401278453321</v>
      </c>
    </row>
    <row r="340" spans="1:33" ht="11.25" customHeight="1" x14ac:dyDescent="0.25">
      <c r="A340" s="3" t="s">
        <v>21</v>
      </c>
      <c r="B340" s="3" t="s">
        <v>43</v>
      </c>
      <c r="C340" s="3" t="s">
        <v>23</v>
      </c>
      <c r="D340" s="3" t="s">
        <v>44</v>
      </c>
      <c r="E340" s="3" t="s">
        <v>45</v>
      </c>
      <c r="F340" s="3" t="s">
        <v>25</v>
      </c>
      <c r="G340" s="3" t="s">
        <v>25</v>
      </c>
      <c r="H340" s="3" t="s">
        <v>25</v>
      </c>
      <c r="I340" s="6">
        <v>44652</v>
      </c>
      <c r="J340" s="4">
        <v>0</v>
      </c>
      <c r="K340" s="4">
        <v>0</v>
      </c>
      <c r="L340" s="4">
        <v>160.88499999999999</v>
      </c>
      <c r="M340" s="4">
        <v>160.88499999999999</v>
      </c>
      <c r="N340" s="4">
        <v>160.88499999999999</v>
      </c>
      <c r="O340" s="4">
        <v>160.88499999999999</v>
      </c>
      <c r="P340" s="4">
        <v>8</v>
      </c>
      <c r="Q340" s="3" t="s">
        <v>26</v>
      </c>
      <c r="R340" s="3">
        <v>0</v>
      </c>
      <c r="S340" s="4">
        <v>0</v>
      </c>
      <c r="T340" s="4">
        <v>33</v>
      </c>
      <c r="U340" s="4">
        <v>85</v>
      </c>
      <c r="V340" s="4">
        <f>IF(ISERROR(VLOOKUP($S$340,'TAR FIN'!$A$1:$O$88,15,0)),0,VLOOKUP($S$340,'TAR FIN'!$A$1:$O$88,15,0))</f>
        <v>0</v>
      </c>
      <c r="W340" s="4">
        <f>IF(ISERROR(VLOOKUP($T$340,'TAR FIN'!$A$1:$O$88,15,0)),0,VLOOKUP($T$340,'TAR FIN'!$A$1:$O$88,15,0))</f>
        <v>261.83</v>
      </c>
      <c r="X340" s="4">
        <f>IF(ISERROR(VLOOKUP($U$340,'TAR FIN'!$A$1:$O$88,15,0)),0,VLOOKUP($U$340,'TAR FIN'!$A$1:$O$88,15,0))</f>
        <v>90.86</v>
      </c>
      <c r="Y340" s="4"/>
      <c r="Z340" s="4">
        <f ca="1">('TUSD BE'!$AM$50+'TUSD BF'!$AM$50+'TUSD CVA'!$AM$50)*1</f>
        <v>291.34253217179423</v>
      </c>
      <c r="AA340" s="4">
        <f>('TE BE'!$AB$40+'TE BF'!$AB$40+'TE CVA'!$AB$40)*1</f>
        <v>84.676577673175942</v>
      </c>
      <c r="AB340" s="4">
        <f>$K$340*$V$340</f>
        <v>0</v>
      </c>
      <c r="AC340" s="4">
        <f>$M$340*$W$340</f>
        <v>42124.519549999997</v>
      </c>
      <c r="AD340" s="4">
        <f>$O$340*$X$340</f>
        <v>14618.0111</v>
      </c>
      <c r="AE340" s="4">
        <f>$K$340*$Y$340</f>
        <v>0</v>
      </c>
      <c r="AF340" s="4">
        <f ca="1">$M$340*$Z$340</f>
        <v>46872.643288459112</v>
      </c>
      <c r="AG340" s="4">
        <f>$O$340*$AA$340</f>
        <v>13623.191198948911</v>
      </c>
    </row>
    <row r="341" spans="1:33" ht="11.25" customHeight="1" x14ac:dyDescent="0.25">
      <c r="A341" s="3" t="s">
        <v>21</v>
      </c>
      <c r="B341" s="3" t="s">
        <v>43</v>
      </c>
      <c r="C341" s="3" t="s">
        <v>23</v>
      </c>
      <c r="D341" s="3" t="s">
        <v>44</v>
      </c>
      <c r="E341" s="3" t="s">
        <v>45</v>
      </c>
      <c r="F341" s="3" t="s">
        <v>25</v>
      </c>
      <c r="G341" s="3" t="s">
        <v>25</v>
      </c>
      <c r="H341" s="3" t="s">
        <v>25</v>
      </c>
      <c r="I341" s="6">
        <v>44682</v>
      </c>
      <c r="J341" s="4">
        <v>0</v>
      </c>
      <c r="K341" s="4">
        <v>0</v>
      </c>
      <c r="L341" s="4">
        <v>166.24799999999999</v>
      </c>
      <c r="M341" s="4">
        <v>166.24799999999999</v>
      </c>
      <c r="N341" s="4">
        <v>166.24799999999999</v>
      </c>
      <c r="O341" s="4">
        <v>166.24799999999999</v>
      </c>
      <c r="P341" s="4">
        <v>8</v>
      </c>
      <c r="Q341" s="3" t="s">
        <v>26</v>
      </c>
      <c r="R341" s="3">
        <v>0</v>
      </c>
      <c r="S341" s="4">
        <v>0</v>
      </c>
      <c r="T341" s="4">
        <v>33</v>
      </c>
      <c r="U341" s="4">
        <v>85</v>
      </c>
      <c r="V341" s="4">
        <f>IF(ISERROR(VLOOKUP($S$341,'TAR FIN'!$A$1:$O$88,15,0)),0,VLOOKUP($S$341,'TAR FIN'!$A$1:$O$88,15,0))</f>
        <v>0</v>
      </c>
      <c r="W341" s="4">
        <f>IF(ISERROR(VLOOKUP($T$341,'TAR FIN'!$A$1:$O$88,15,0)),0,VLOOKUP($T$341,'TAR FIN'!$A$1:$O$88,15,0))</f>
        <v>261.83</v>
      </c>
      <c r="X341" s="4">
        <f>IF(ISERROR(VLOOKUP($U$341,'TAR FIN'!$A$1:$O$88,15,0)),0,VLOOKUP($U$341,'TAR FIN'!$A$1:$O$88,15,0))</f>
        <v>90.86</v>
      </c>
      <c r="Y341" s="4"/>
      <c r="Z341" s="4">
        <f ca="1">('TUSD BE'!$AM$50+'TUSD BF'!$AM$50+'TUSD CVA'!$AM$50)*1</f>
        <v>291.34253217179423</v>
      </c>
      <c r="AA341" s="4">
        <f>('TE BE'!$AB$40+'TE BF'!$AB$40+'TE CVA'!$AB$40)*1</f>
        <v>84.676577673175942</v>
      </c>
      <c r="AB341" s="4">
        <f>$K$341*$V$341</f>
        <v>0</v>
      </c>
      <c r="AC341" s="4">
        <f>$M$341*$W$341</f>
        <v>43528.713839999997</v>
      </c>
      <c r="AD341" s="4">
        <f>$O$341*$X$341</f>
        <v>15105.29328</v>
      </c>
      <c r="AE341" s="4">
        <f>$K$341*$Y$341</f>
        <v>0</v>
      </c>
      <c r="AF341" s="4">
        <f ca="1">$M$341*$Z$341</f>
        <v>48435.113288496446</v>
      </c>
      <c r="AG341" s="4">
        <f>$O$341*$AA$341</f>
        <v>14077.311685010152</v>
      </c>
    </row>
    <row r="342" spans="1:33" ht="11.25" customHeight="1" x14ac:dyDescent="0.25">
      <c r="A342" s="3" t="s">
        <v>21</v>
      </c>
      <c r="B342" s="3" t="s">
        <v>43</v>
      </c>
      <c r="C342" s="3" t="s">
        <v>23</v>
      </c>
      <c r="D342" s="3" t="s">
        <v>44</v>
      </c>
      <c r="E342" s="3" t="s">
        <v>45</v>
      </c>
      <c r="F342" s="3" t="s">
        <v>25</v>
      </c>
      <c r="G342" s="3" t="s">
        <v>25</v>
      </c>
      <c r="H342" s="3" t="s">
        <v>25</v>
      </c>
      <c r="I342" s="6">
        <v>44713</v>
      </c>
      <c r="J342" s="4">
        <v>0</v>
      </c>
      <c r="K342" s="4">
        <v>0</v>
      </c>
      <c r="L342" s="4">
        <v>160.94499999999999</v>
      </c>
      <c r="M342" s="4">
        <v>160.94499999999999</v>
      </c>
      <c r="N342" s="4">
        <v>160.94499999999999</v>
      </c>
      <c r="O342" s="4">
        <v>160.94499999999999</v>
      </c>
      <c r="P342" s="4">
        <v>8</v>
      </c>
      <c r="Q342" s="3" t="s">
        <v>26</v>
      </c>
      <c r="R342" s="3">
        <v>0</v>
      </c>
      <c r="S342" s="4">
        <v>0</v>
      </c>
      <c r="T342" s="4">
        <v>33</v>
      </c>
      <c r="U342" s="4">
        <v>85</v>
      </c>
      <c r="V342" s="4">
        <f>IF(ISERROR(VLOOKUP($S$342,'TAR FIN'!$A$1:$O$88,15,0)),0,VLOOKUP($S$342,'TAR FIN'!$A$1:$O$88,15,0))</f>
        <v>0</v>
      </c>
      <c r="W342" s="4">
        <f>IF(ISERROR(VLOOKUP($T$342,'TAR FIN'!$A$1:$O$88,15,0)),0,VLOOKUP($T$342,'TAR FIN'!$A$1:$O$88,15,0))</f>
        <v>261.83</v>
      </c>
      <c r="X342" s="4">
        <f>IF(ISERROR(VLOOKUP($U$342,'TAR FIN'!$A$1:$O$88,15,0)),0,VLOOKUP($U$342,'TAR FIN'!$A$1:$O$88,15,0))</f>
        <v>90.86</v>
      </c>
      <c r="Y342" s="4"/>
      <c r="Z342" s="4">
        <f ca="1">('TUSD BE'!$AM$50+'TUSD BF'!$AM$50+'TUSD CVA'!$AM$50)*1</f>
        <v>291.34253217179423</v>
      </c>
      <c r="AA342" s="4">
        <f>('TE BE'!$AB$40+'TE BF'!$AB$40+'TE CVA'!$AB$40)*1</f>
        <v>84.676577673175942</v>
      </c>
      <c r="AB342" s="4">
        <f>$K$342*$V$342</f>
        <v>0</v>
      </c>
      <c r="AC342" s="4">
        <f>$M$342*$W$342</f>
        <v>42140.229349999994</v>
      </c>
      <c r="AD342" s="4">
        <f>$O$342*$X$342</f>
        <v>14623.4627</v>
      </c>
      <c r="AE342" s="4">
        <f>$K$342*$Y$342</f>
        <v>0</v>
      </c>
      <c r="AF342" s="4">
        <f ca="1">$M$342*$Z$342</f>
        <v>46890.123840389424</v>
      </c>
      <c r="AG342" s="4">
        <f>$O$342*$AA$342</f>
        <v>13628.271793609301</v>
      </c>
    </row>
    <row r="343" spans="1:33" ht="11.25" customHeight="1" x14ac:dyDescent="0.25">
      <c r="A343" s="3" t="s">
        <v>21</v>
      </c>
      <c r="B343" s="3" t="s">
        <v>43</v>
      </c>
      <c r="C343" s="3" t="s">
        <v>23</v>
      </c>
      <c r="D343" s="3" t="s">
        <v>44</v>
      </c>
      <c r="E343" s="3" t="s">
        <v>45</v>
      </c>
      <c r="F343" s="3" t="s">
        <v>25</v>
      </c>
      <c r="G343" s="3" t="s">
        <v>25</v>
      </c>
      <c r="H343" s="3" t="s">
        <v>25</v>
      </c>
      <c r="I343" s="6">
        <v>44743</v>
      </c>
      <c r="J343" s="4">
        <v>0</v>
      </c>
      <c r="K343" s="4">
        <v>0</v>
      </c>
      <c r="L343" s="4">
        <v>165.71299999999999</v>
      </c>
      <c r="M343" s="4">
        <v>165.71299999999999</v>
      </c>
      <c r="N343" s="4">
        <v>165.71299999999999</v>
      </c>
      <c r="O343" s="4">
        <v>165.71299999999999</v>
      </c>
      <c r="P343" s="4">
        <v>8</v>
      </c>
      <c r="Q343" s="3" t="s">
        <v>26</v>
      </c>
      <c r="R343" s="3">
        <v>0</v>
      </c>
      <c r="S343" s="4">
        <v>0</v>
      </c>
      <c r="T343" s="4">
        <v>33</v>
      </c>
      <c r="U343" s="4">
        <v>85</v>
      </c>
      <c r="V343" s="4">
        <f>IF(ISERROR(VLOOKUP($S$343,'TAR FIN'!$A$1:$O$88,15,0)),0,VLOOKUP($S$343,'TAR FIN'!$A$1:$O$88,15,0))</f>
        <v>0</v>
      </c>
      <c r="W343" s="4">
        <f>IF(ISERROR(VLOOKUP($T$343,'TAR FIN'!$A$1:$O$88,15,0)),0,VLOOKUP($T$343,'TAR FIN'!$A$1:$O$88,15,0))</f>
        <v>261.83</v>
      </c>
      <c r="X343" s="4">
        <f>IF(ISERROR(VLOOKUP($U$343,'TAR FIN'!$A$1:$O$88,15,0)),0,VLOOKUP($U$343,'TAR FIN'!$A$1:$O$88,15,0))</f>
        <v>90.86</v>
      </c>
      <c r="Y343" s="4"/>
      <c r="Z343" s="4">
        <f ca="1">('TUSD BE'!$AM$50+'TUSD BF'!$AM$50+'TUSD CVA'!$AM$50)*1</f>
        <v>291.34253217179423</v>
      </c>
      <c r="AA343" s="4">
        <f>('TE BE'!$AB$40+'TE BF'!$AB$40+'TE CVA'!$AB$40)*1</f>
        <v>84.676577673175942</v>
      </c>
      <c r="AB343" s="4">
        <f>$K$343*$V$343</f>
        <v>0</v>
      </c>
      <c r="AC343" s="4">
        <f>$M$343*$W$343</f>
        <v>43388.634789999996</v>
      </c>
      <c r="AD343" s="4">
        <f>$O$343*$X$343</f>
        <v>15056.68318</v>
      </c>
      <c r="AE343" s="4">
        <f>$K$343*$Y$343</f>
        <v>0</v>
      </c>
      <c r="AF343" s="4">
        <f ca="1">$M$343*$Z$343</f>
        <v>48279.245033784537</v>
      </c>
      <c r="AG343" s="4">
        <f>$O$343*$AA$343</f>
        <v>14032.009715955004</v>
      </c>
    </row>
    <row r="344" spans="1:33" ht="11.25" customHeight="1" x14ac:dyDescent="0.25">
      <c r="A344" s="3" t="s">
        <v>21</v>
      </c>
      <c r="B344" s="3" t="s">
        <v>43</v>
      </c>
      <c r="C344" s="3" t="s">
        <v>23</v>
      </c>
      <c r="D344" s="3" t="s">
        <v>44</v>
      </c>
      <c r="E344" s="3" t="s">
        <v>45</v>
      </c>
      <c r="F344" s="3" t="s">
        <v>25</v>
      </c>
      <c r="G344" s="3" t="s">
        <v>25</v>
      </c>
      <c r="H344" s="3" t="s">
        <v>25</v>
      </c>
      <c r="I344" s="6">
        <v>44774</v>
      </c>
      <c r="J344" s="4">
        <v>0</v>
      </c>
      <c r="K344" s="4">
        <v>0</v>
      </c>
      <c r="L344" s="4">
        <v>167.15199999999999</v>
      </c>
      <c r="M344" s="4">
        <v>167.15199999999999</v>
      </c>
      <c r="N344" s="4">
        <v>167.15199999999999</v>
      </c>
      <c r="O344" s="4">
        <v>167.15199999999999</v>
      </c>
      <c r="P344" s="4">
        <v>8</v>
      </c>
      <c r="Q344" s="3" t="s">
        <v>26</v>
      </c>
      <c r="R344" s="3">
        <v>0</v>
      </c>
      <c r="S344" s="4">
        <v>0</v>
      </c>
      <c r="T344" s="4">
        <v>33</v>
      </c>
      <c r="U344" s="4">
        <v>85</v>
      </c>
      <c r="V344" s="4">
        <f>IF(ISERROR(VLOOKUP($S$344,'TAR FIN'!$A$1:$O$88,15,0)),0,VLOOKUP($S$344,'TAR FIN'!$A$1:$O$88,15,0))</f>
        <v>0</v>
      </c>
      <c r="W344" s="4">
        <f>IF(ISERROR(VLOOKUP($T$344,'TAR FIN'!$A$1:$O$88,15,0)),0,VLOOKUP($T$344,'TAR FIN'!$A$1:$O$88,15,0))</f>
        <v>261.83</v>
      </c>
      <c r="X344" s="4">
        <f>IF(ISERROR(VLOOKUP($U$344,'TAR FIN'!$A$1:$O$88,15,0)),0,VLOOKUP($U$344,'TAR FIN'!$A$1:$O$88,15,0))</f>
        <v>90.86</v>
      </c>
      <c r="Y344" s="4"/>
      <c r="Z344" s="4">
        <f ca="1">('TUSD BE'!$AM$50+'TUSD BF'!$AM$50+'TUSD CVA'!$AM$50)*1</f>
        <v>291.34253217179423</v>
      </c>
      <c r="AA344" s="4">
        <f>('TE BE'!$AB$40+'TE BF'!$AB$40+'TE CVA'!$AB$40)*1</f>
        <v>84.676577673175942</v>
      </c>
      <c r="AB344" s="4">
        <f>$K$344*$V$344</f>
        <v>0</v>
      </c>
      <c r="AC344" s="4">
        <f>$M$344*$W$344</f>
        <v>43765.408159999992</v>
      </c>
      <c r="AD344" s="4">
        <f>$O$344*$X$344</f>
        <v>15187.430719999998</v>
      </c>
      <c r="AE344" s="4">
        <f>$K$344*$Y$344</f>
        <v>0</v>
      </c>
      <c r="AF344" s="4">
        <f ca="1">$M$344*$Z$344</f>
        <v>48698.486937579743</v>
      </c>
      <c r="AG344" s="4">
        <f>$O$344*$AA$344</f>
        <v>14153.859311226704</v>
      </c>
    </row>
    <row r="345" spans="1:33" ht="11.25" customHeight="1" x14ac:dyDescent="0.25">
      <c r="A345" s="3" t="s">
        <v>21</v>
      </c>
      <c r="B345" s="3" t="s">
        <v>43</v>
      </c>
      <c r="C345" s="3" t="s">
        <v>23</v>
      </c>
      <c r="D345" s="3" t="s">
        <v>44</v>
      </c>
      <c r="E345" s="3" t="s">
        <v>46</v>
      </c>
      <c r="F345" s="3" t="s">
        <v>25</v>
      </c>
      <c r="G345" s="3" t="s">
        <v>25</v>
      </c>
      <c r="H345" s="3" t="s">
        <v>25</v>
      </c>
      <c r="I345" s="6">
        <v>44440</v>
      </c>
      <c r="J345" s="4">
        <v>0</v>
      </c>
      <c r="K345" s="4">
        <v>0</v>
      </c>
      <c r="L345" s="4">
        <v>1.4530000000000001</v>
      </c>
      <c r="M345" s="4">
        <v>1.4530000000000001</v>
      </c>
      <c r="N345" s="4">
        <v>1.4530000000000001</v>
      </c>
      <c r="O345" s="4">
        <v>1.4530000000000001</v>
      </c>
      <c r="P345" s="4">
        <v>2</v>
      </c>
      <c r="Q345" s="3" t="s">
        <v>26</v>
      </c>
      <c r="R345" s="3">
        <v>0</v>
      </c>
      <c r="S345" s="4">
        <v>0</v>
      </c>
      <c r="T345" s="4">
        <v>40</v>
      </c>
      <c r="U345" s="4">
        <v>86</v>
      </c>
      <c r="V345" s="4">
        <f>IF(ISERROR(VLOOKUP($S$345,'TAR FIN'!$A$1:$O$88,15,0)),0,VLOOKUP($S$345,'TAR FIN'!$A$1:$O$88,15,0))</f>
        <v>0</v>
      </c>
      <c r="W345" s="4">
        <f>IF(ISERROR(VLOOKUP($T$345,'TAR FIN'!$A$1:$O$88,15,0)),0,VLOOKUP($T$345,'TAR FIN'!$A$1:$O$88,15,0))</f>
        <v>285.64</v>
      </c>
      <c r="X345" s="4">
        <f>IF(ISERROR(VLOOKUP($U$345,'TAR FIN'!$A$1:$O$88,15,0)),0,VLOOKUP($U$345,'TAR FIN'!$A$1:$O$88,15,0))</f>
        <v>99.12</v>
      </c>
      <c r="Y345" s="4"/>
      <c r="Z345" s="4">
        <f ca="1">('TUSD BE'!$AM$51+'TUSD BF'!$AM$51+'TUSD CVA'!$AM$51)*1</f>
        <v>317.82821691468456</v>
      </c>
      <c r="AA345" s="4">
        <f>('TE BE'!$AB$41+'TE BF'!$AB$41+'TE CVA'!$AB$41)*1</f>
        <v>92.374448370737383</v>
      </c>
      <c r="AB345" s="4">
        <f>$K$345*$V$345</f>
        <v>0</v>
      </c>
      <c r="AC345" s="4">
        <f>$M$345*$W$345</f>
        <v>415.03492</v>
      </c>
      <c r="AD345" s="4">
        <f>$O$345*$X$345</f>
        <v>144.02136000000002</v>
      </c>
      <c r="AE345" s="4">
        <f>$K$345*$Y$345</f>
        <v>0</v>
      </c>
      <c r="AF345" s="4">
        <f ca="1">$M$345*$Z$345</f>
        <v>461.80439917703671</v>
      </c>
      <c r="AG345" s="4">
        <f>$O$345*$AA$345</f>
        <v>134.22007348268141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F97-7DE3-4174-B3FF-BD81A1658127}">
  <dimension ref="A1:AJ346"/>
  <sheetViews>
    <sheetView showGridLines="0" workbookViewId="0">
      <selection sqref="A1:AF156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H1" s="34" t="s">
        <v>548</v>
      </c>
      <c r="AI1" s="34" t="s">
        <v>553</v>
      </c>
      <c r="AJ1" s="34" t="s">
        <v>554</v>
      </c>
    </row>
    <row r="2" spans="1:36" ht="11.25" customHeight="1" x14ac:dyDescent="0.25">
      <c r="A2" s="3" t="s">
        <v>21</v>
      </c>
      <c r="B2" s="3" t="s">
        <v>35</v>
      </c>
      <c r="C2" s="3" t="s">
        <v>36</v>
      </c>
      <c r="D2" s="3" t="s">
        <v>47</v>
      </c>
      <c r="E2" s="3" t="s">
        <v>48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52">
        <v>0</v>
      </c>
      <c r="L2" s="4">
        <v>8.5280000000000005</v>
      </c>
      <c r="M2" s="52">
        <v>8.5280000000000005</v>
      </c>
      <c r="N2" s="4">
        <v>8.5280000000000005</v>
      </c>
      <c r="O2" s="52">
        <v>8.5280000000000005</v>
      </c>
      <c r="P2" s="4">
        <v>0</v>
      </c>
      <c r="Q2" s="3" t="s">
        <v>26</v>
      </c>
      <c r="R2" s="3">
        <v>0</v>
      </c>
      <c r="S2" s="3">
        <v>0</v>
      </c>
      <c r="T2" s="3">
        <v>11</v>
      </c>
      <c r="U2" s="3">
        <v>56</v>
      </c>
      <c r="V2" s="52">
        <f>IF(ISERROR(VLOOKUP($S$2,'TAR FIN'!$A$1:$O$88,15,0)),0,VLOOKUP($S$2,'TAR FIN'!$A$1:$O$88,15,0))</f>
        <v>0</v>
      </c>
      <c r="W2" s="52">
        <f>IF(ISERROR(VLOOKUP($T$2,'TAR FIN'!$A$1:$O$88,15,0)),0,VLOOKUP($T$2,'TAR FIN'!$A$1:$O$88,15,0))*(1-0.06)</f>
        <v>63.468799999999995</v>
      </c>
      <c r="X2" s="52">
        <f>IF(ISERROR(VLOOKUP($U$2,'TAR FIN'!$A$1:$O$88,15,0)),0,VLOOKUP($U$2,'TAR FIN'!$A$1:$O$88,15,0))*(1-0.06)</f>
        <v>155.29740000000001</v>
      </c>
      <c r="Y2" s="52"/>
      <c r="Z2" s="52">
        <f ca="1">('TUSD BE'!$AM$12+'TUSD BF'!$AM$12+'TUSD CVA'!$AM$12)*1*(1-0.03)</f>
        <v>94.5230843835228</v>
      </c>
      <c r="AA2" s="52">
        <f>('TE BE'!$AB$6+'TE BF'!$AB$6+'TE CVA'!$AB$6)*1*(1-0.03)</f>
        <v>149.33869153269211</v>
      </c>
      <c r="AB2" s="52">
        <f>(SUBSIDIO!$J$2*SUBSIDIO!$V$2)*(0.06)/(1-0.06)</f>
        <v>0</v>
      </c>
      <c r="AC2" s="52">
        <f>((SUBSIDIO!$L$2*SUBSIDIO!$W$2)+(SUBSIDIO!$N$2*SUBSIDIO!$X$2))*(0.06)/(1-0.06)</f>
        <v>119.08328640000001</v>
      </c>
      <c r="AD2" s="52">
        <f>(SUBSIDIO!$J$2*SUBSIDIO!$Y$2)*(0.03)/(1-0.03)</f>
        <v>0</v>
      </c>
      <c r="AE2" s="52">
        <f ca="1">((SUBSIDIO!$L$2*SUBSIDIO!$Z$2)+(SUBSIDIO!$N$2*SUBSIDIO!$AA$2))*(0.03)/(1-0.03)</f>
        <v>64.319171907633418</v>
      </c>
      <c r="AF2" s="3" t="s">
        <v>549</v>
      </c>
      <c r="AH2" s="35" t="s">
        <v>555</v>
      </c>
      <c r="AI2" s="36">
        <f t="shared" ref="AI2:AI9" si="0">SUMIF($AF$2:$AF$346,AH2,$AB$2:$AB$346)+SUMIF($AF$2:$AF$346,AH2,$AC$2:$AC$346)</f>
        <v>0</v>
      </c>
      <c r="AJ2" s="36">
        <f t="shared" ref="AJ2:AJ9" si="1">SUMIF($AF$2:$AF$346,AH2,$AD$2:$AD$346)+SUMIF($AF$2:$AF$346,AH2,$AE$2:$AE$346)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36</v>
      </c>
      <c r="D3" s="3" t="s">
        <v>47</v>
      </c>
      <c r="E3" s="3" t="s">
        <v>48</v>
      </c>
      <c r="F3" s="3" t="s">
        <v>25</v>
      </c>
      <c r="G3" s="3" t="s">
        <v>25</v>
      </c>
      <c r="H3" s="3" t="s">
        <v>38</v>
      </c>
      <c r="I3" s="6">
        <v>44470</v>
      </c>
      <c r="J3" s="4">
        <v>0</v>
      </c>
      <c r="K3" s="52">
        <v>0</v>
      </c>
      <c r="L3" s="4">
        <v>9.7170000000000005</v>
      </c>
      <c r="M3" s="52">
        <v>9.7170000000000005</v>
      </c>
      <c r="N3" s="4">
        <v>9.7170000000000005</v>
      </c>
      <c r="O3" s="52">
        <v>9.7170000000000005</v>
      </c>
      <c r="P3" s="4">
        <v>0</v>
      </c>
      <c r="Q3" s="3" t="s">
        <v>26</v>
      </c>
      <c r="R3" s="3">
        <v>0</v>
      </c>
      <c r="S3" s="3">
        <v>0</v>
      </c>
      <c r="T3" s="3">
        <v>11</v>
      </c>
      <c r="U3" s="3">
        <v>56</v>
      </c>
      <c r="V3" s="52">
        <f>IF(ISERROR(VLOOKUP($S$3,'TAR FIN'!$A$1:$O$88,15,0)),0,VLOOKUP($S$3,'TAR FIN'!$A$1:$O$88,15,0))</f>
        <v>0</v>
      </c>
      <c r="W3" s="52">
        <f>IF(ISERROR(VLOOKUP($T$3,'TAR FIN'!$A$1:$O$88,15,0)),0,VLOOKUP($T$3,'TAR FIN'!$A$1:$O$88,15,0))*(1-0.06)</f>
        <v>63.468799999999995</v>
      </c>
      <c r="X3" s="52">
        <f>IF(ISERROR(VLOOKUP($U$3,'TAR FIN'!$A$1:$O$88,15,0)),0,VLOOKUP($U$3,'TAR FIN'!$A$1:$O$88,15,0))*(1-0.06)</f>
        <v>155.29740000000001</v>
      </c>
      <c r="Y3" s="52"/>
      <c r="Z3" s="52">
        <f ca="1">('TUSD BE'!$AM$12+'TUSD BF'!$AM$12+'TUSD CVA'!$AM$12)*1*(1-0.03)</f>
        <v>94.5230843835228</v>
      </c>
      <c r="AA3" s="52">
        <f>('TE BE'!$AB$6+'TE BF'!$AB$6+'TE CVA'!$AB$6)*1*(1-0.03)</f>
        <v>149.33869153269211</v>
      </c>
      <c r="AB3" s="52">
        <f>(SUBSIDIO!$J$3*SUBSIDIO!$V$3)*(0.06)/(1-0.06)</f>
        <v>0</v>
      </c>
      <c r="AC3" s="52">
        <f>((SUBSIDIO!$L$3*SUBSIDIO!$W$3)+(SUBSIDIO!$N$3*SUBSIDIO!$X$3))*(0.06)/(1-0.06)</f>
        <v>135.68624460000001</v>
      </c>
      <c r="AD3" s="52">
        <f>(SUBSIDIO!$J$3*SUBSIDIO!$Y$3)*(0.03)/(1-0.03)</f>
        <v>0</v>
      </c>
      <c r="AE3" s="52">
        <f ca="1">((SUBSIDIO!$L$3*SUBSIDIO!$Z$3)+(SUBSIDIO!$N$3*SUBSIDIO!$AA$3))*(0.03)/(1-0.03)</f>
        <v>73.286748760140014</v>
      </c>
      <c r="AF3" s="3" t="s">
        <v>549</v>
      </c>
      <c r="AH3" s="35" t="s">
        <v>556</v>
      </c>
      <c r="AI3" s="36">
        <f t="shared" si="0"/>
        <v>0</v>
      </c>
      <c r="AJ3" s="36">
        <f t="shared" si="1"/>
        <v>0</v>
      </c>
    </row>
    <row r="4" spans="1:36" ht="11.25" customHeight="1" x14ac:dyDescent="0.25">
      <c r="A4" s="3" t="s">
        <v>21</v>
      </c>
      <c r="B4" s="3" t="s">
        <v>35</v>
      </c>
      <c r="C4" s="3" t="s">
        <v>36</v>
      </c>
      <c r="D4" s="3" t="s">
        <v>47</v>
      </c>
      <c r="E4" s="3" t="s">
        <v>48</v>
      </c>
      <c r="F4" s="3" t="s">
        <v>25</v>
      </c>
      <c r="G4" s="3" t="s">
        <v>25</v>
      </c>
      <c r="H4" s="3" t="s">
        <v>38</v>
      </c>
      <c r="I4" s="6">
        <v>44501</v>
      </c>
      <c r="J4" s="4">
        <v>0</v>
      </c>
      <c r="K4" s="52">
        <v>0</v>
      </c>
      <c r="L4" s="4">
        <v>10.782999999999999</v>
      </c>
      <c r="M4" s="52">
        <v>10.782999999999999</v>
      </c>
      <c r="N4" s="4">
        <v>10.782999999999999</v>
      </c>
      <c r="O4" s="52">
        <v>10.782999999999999</v>
      </c>
      <c r="P4" s="4">
        <v>0</v>
      </c>
      <c r="Q4" s="3" t="s">
        <v>26</v>
      </c>
      <c r="R4" s="3">
        <v>0</v>
      </c>
      <c r="S4" s="3">
        <v>0</v>
      </c>
      <c r="T4" s="3">
        <v>11</v>
      </c>
      <c r="U4" s="3">
        <v>56</v>
      </c>
      <c r="V4" s="52">
        <f>IF(ISERROR(VLOOKUP($S$4,'TAR FIN'!$A$1:$O$88,15,0)),0,VLOOKUP($S$4,'TAR FIN'!$A$1:$O$88,15,0))</f>
        <v>0</v>
      </c>
      <c r="W4" s="52">
        <f>IF(ISERROR(VLOOKUP($T$4,'TAR FIN'!$A$1:$O$88,15,0)),0,VLOOKUP($T$4,'TAR FIN'!$A$1:$O$88,15,0))*(1-0.06)</f>
        <v>63.468799999999995</v>
      </c>
      <c r="X4" s="52">
        <f>IF(ISERROR(VLOOKUP($U$4,'TAR FIN'!$A$1:$O$88,15,0)),0,VLOOKUP($U$4,'TAR FIN'!$A$1:$O$88,15,0))*(1-0.06)</f>
        <v>155.29740000000001</v>
      </c>
      <c r="Y4" s="52"/>
      <c r="Z4" s="52">
        <f ca="1">('TUSD BE'!$AM$12+'TUSD BF'!$AM$12+'TUSD CVA'!$AM$12)*1*(1-0.03)</f>
        <v>94.5230843835228</v>
      </c>
      <c r="AA4" s="52">
        <f>('TE BE'!$AB$6+'TE BF'!$AB$6+'TE CVA'!$AB$6)*1*(1-0.03)</f>
        <v>149.33869153269211</v>
      </c>
      <c r="AB4" s="52">
        <f>(SUBSIDIO!$J$4*SUBSIDIO!$V$4)*(0.06)/(1-0.06)</f>
        <v>0</v>
      </c>
      <c r="AC4" s="52">
        <f>((SUBSIDIO!$L$4*SUBSIDIO!$W$4)+(SUBSIDIO!$N$4*SUBSIDIO!$X$4))*(0.06)/(1-0.06)</f>
        <v>150.5716554</v>
      </c>
      <c r="AD4" s="52">
        <f>(SUBSIDIO!$J$4*SUBSIDIO!$Y$4)*(0.03)/(1-0.03)</f>
        <v>0</v>
      </c>
      <c r="AE4" s="52">
        <f ca="1">((SUBSIDIO!$L$4*SUBSIDIO!$Z$4)+(SUBSIDIO!$N$4*SUBSIDIO!$AA$4))*(0.03)/(1-0.03)</f>
        <v>81.326645248594176</v>
      </c>
      <c r="AF4" s="3" t="s">
        <v>549</v>
      </c>
      <c r="AH4" s="35" t="s">
        <v>557</v>
      </c>
      <c r="AI4" s="36">
        <f t="shared" si="0"/>
        <v>0</v>
      </c>
      <c r="AJ4" s="36">
        <f t="shared" si="1"/>
        <v>0</v>
      </c>
    </row>
    <row r="5" spans="1:36" ht="11.25" customHeight="1" x14ac:dyDescent="0.25">
      <c r="A5" s="3" t="s">
        <v>21</v>
      </c>
      <c r="B5" s="3" t="s">
        <v>35</v>
      </c>
      <c r="C5" s="3" t="s">
        <v>36</v>
      </c>
      <c r="D5" s="3" t="s">
        <v>47</v>
      </c>
      <c r="E5" s="3" t="s">
        <v>48</v>
      </c>
      <c r="F5" s="3" t="s">
        <v>25</v>
      </c>
      <c r="G5" s="3" t="s">
        <v>25</v>
      </c>
      <c r="H5" s="3" t="s">
        <v>38</v>
      </c>
      <c r="I5" s="6">
        <v>44531</v>
      </c>
      <c r="J5" s="4">
        <v>0</v>
      </c>
      <c r="K5" s="52">
        <v>0</v>
      </c>
      <c r="L5" s="4">
        <v>9.3480000000000008</v>
      </c>
      <c r="M5" s="52">
        <v>9.3480000000000008</v>
      </c>
      <c r="N5" s="4">
        <v>9.3480000000000008</v>
      </c>
      <c r="O5" s="52">
        <v>9.3480000000000008</v>
      </c>
      <c r="P5" s="4">
        <v>0</v>
      </c>
      <c r="Q5" s="3" t="s">
        <v>26</v>
      </c>
      <c r="R5" s="3">
        <v>0</v>
      </c>
      <c r="S5" s="3">
        <v>0</v>
      </c>
      <c r="T5" s="3">
        <v>11</v>
      </c>
      <c r="U5" s="3">
        <v>56</v>
      </c>
      <c r="V5" s="52">
        <f>IF(ISERROR(VLOOKUP($S$5,'TAR FIN'!$A$1:$O$88,15,0)),0,VLOOKUP($S$5,'TAR FIN'!$A$1:$O$88,15,0))</f>
        <v>0</v>
      </c>
      <c r="W5" s="52">
        <f>IF(ISERROR(VLOOKUP($T$5,'TAR FIN'!$A$1:$O$88,15,0)),0,VLOOKUP($T$5,'TAR FIN'!$A$1:$O$88,15,0))*(1-0.06)</f>
        <v>63.468799999999995</v>
      </c>
      <c r="X5" s="52">
        <f>IF(ISERROR(VLOOKUP($U$5,'TAR FIN'!$A$1:$O$88,15,0)),0,VLOOKUP($U$5,'TAR FIN'!$A$1:$O$88,15,0))*(1-0.06)</f>
        <v>155.29740000000001</v>
      </c>
      <c r="Y5" s="52"/>
      <c r="Z5" s="52">
        <f ca="1">('TUSD BE'!$AM$12+'TUSD BF'!$AM$12+'TUSD CVA'!$AM$12)*1*(1-0.03)</f>
        <v>94.5230843835228</v>
      </c>
      <c r="AA5" s="52">
        <f>('TE BE'!$AB$6+'TE BF'!$AB$6+'TE CVA'!$AB$6)*1*(1-0.03)</f>
        <v>149.33869153269211</v>
      </c>
      <c r="AB5" s="52">
        <f>(SUBSIDIO!$J$5*SUBSIDIO!$V$5)*(0.06)/(1-0.06)</f>
        <v>0</v>
      </c>
      <c r="AC5" s="52">
        <f>((SUBSIDIO!$L$5*SUBSIDIO!$W$5)+(SUBSIDIO!$N$5*SUBSIDIO!$X$5))*(0.06)/(1-0.06)</f>
        <v>130.53360240000004</v>
      </c>
      <c r="AD5" s="52">
        <f>(SUBSIDIO!$J$5*SUBSIDIO!$Y$5)*(0.03)/(1-0.03)</f>
        <v>0</v>
      </c>
      <c r="AE5" s="52">
        <f ca="1">((SUBSIDIO!$L$5*SUBSIDIO!$Z$5)+(SUBSIDIO!$N$5*SUBSIDIO!$AA$5))*(0.03)/(1-0.03)</f>
        <v>70.503707667982795</v>
      </c>
      <c r="AF5" s="3" t="s">
        <v>549</v>
      </c>
      <c r="AH5" s="35" t="s">
        <v>549</v>
      </c>
      <c r="AI5" s="36">
        <f t="shared" si="0"/>
        <v>8551.9339326000008</v>
      </c>
      <c r="AJ5" s="36">
        <f t="shared" ca="1" si="1"/>
        <v>4562.9852956944906</v>
      </c>
    </row>
    <row r="6" spans="1:36" ht="11.25" customHeight="1" x14ac:dyDescent="0.25">
      <c r="A6" s="3" t="s">
        <v>21</v>
      </c>
      <c r="B6" s="3" t="s">
        <v>35</v>
      </c>
      <c r="C6" s="3" t="s">
        <v>36</v>
      </c>
      <c r="D6" s="3" t="s">
        <v>47</v>
      </c>
      <c r="E6" s="3" t="s">
        <v>48</v>
      </c>
      <c r="F6" s="3" t="s">
        <v>25</v>
      </c>
      <c r="G6" s="3" t="s">
        <v>25</v>
      </c>
      <c r="H6" s="3" t="s">
        <v>38</v>
      </c>
      <c r="I6" s="6">
        <v>44562</v>
      </c>
      <c r="J6" s="4">
        <v>0</v>
      </c>
      <c r="K6" s="52">
        <v>0</v>
      </c>
      <c r="L6" s="4">
        <v>9.9629999999999992</v>
      </c>
      <c r="M6" s="52">
        <v>9.9629999999999992</v>
      </c>
      <c r="N6" s="4">
        <v>9.9629999999999992</v>
      </c>
      <c r="O6" s="52">
        <v>9.9629999999999992</v>
      </c>
      <c r="P6" s="4">
        <v>0</v>
      </c>
      <c r="Q6" s="3" t="s">
        <v>26</v>
      </c>
      <c r="R6" s="3">
        <v>0</v>
      </c>
      <c r="S6" s="3">
        <v>0</v>
      </c>
      <c r="T6" s="3">
        <v>11</v>
      </c>
      <c r="U6" s="3">
        <v>56</v>
      </c>
      <c r="V6" s="52">
        <f>IF(ISERROR(VLOOKUP($S$6,'TAR FIN'!$A$1:$O$88,15,0)),0,VLOOKUP($S$6,'TAR FIN'!$A$1:$O$88,15,0))</f>
        <v>0</v>
      </c>
      <c r="W6" s="52">
        <f>IF(ISERROR(VLOOKUP($T$6,'TAR FIN'!$A$1:$O$88,15,0)),0,VLOOKUP($T$6,'TAR FIN'!$A$1:$O$88,15,0))*(1-0.06)</f>
        <v>63.468799999999995</v>
      </c>
      <c r="X6" s="52">
        <f>IF(ISERROR(VLOOKUP($U$6,'TAR FIN'!$A$1:$O$88,15,0)),0,VLOOKUP($U$6,'TAR FIN'!$A$1:$O$88,15,0))*(1-0.06)</f>
        <v>155.29740000000001</v>
      </c>
      <c r="Y6" s="52"/>
      <c r="Z6" s="52">
        <f ca="1">('TUSD BE'!$AM$12+'TUSD BF'!$AM$12+'TUSD CVA'!$AM$12)*1*(1-0.03)</f>
        <v>94.5230843835228</v>
      </c>
      <c r="AA6" s="52">
        <f>('TE BE'!$AB$6+'TE BF'!$AB$6+'TE CVA'!$AB$6)*1*(1-0.03)</f>
        <v>149.33869153269211</v>
      </c>
      <c r="AB6" s="52">
        <f>(SUBSIDIO!$J$6*SUBSIDIO!$V$6)*(0.06)/(1-0.06)</f>
        <v>0</v>
      </c>
      <c r="AC6" s="52">
        <f>((SUBSIDIO!$L$6*SUBSIDIO!$W$6)+(SUBSIDIO!$N$6*SUBSIDIO!$X$6))*(0.06)/(1-0.06)</f>
        <v>139.12133939999998</v>
      </c>
      <c r="AD6" s="52">
        <f>(SUBSIDIO!$J$6*SUBSIDIO!$Y$6)*(0.03)/(1-0.03)</f>
        <v>0</v>
      </c>
      <c r="AE6" s="52">
        <f ca="1">((SUBSIDIO!$L$6*SUBSIDIO!$Z$6)+(SUBSIDIO!$N$6*SUBSIDIO!$AA$6))*(0.03)/(1-0.03)</f>
        <v>75.142109488244813</v>
      </c>
      <c r="AF6" s="3" t="s">
        <v>549</v>
      </c>
      <c r="AH6" s="35" t="s">
        <v>551</v>
      </c>
      <c r="AI6" s="36">
        <f t="shared" si="0"/>
        <v>250919.22959999993</v>
      </c>
      <c r="AJ6" s="36">
        <f t="shared" ca="1" si="1"/>
        <v>133741.86168566131</v>
      </c>
    </row>
    <row r="7" spans="1:36" ht="11.25" customHeight="1" x14ac:dyDescent="0.25">
      <c r="A7" s="3" t="s">
        <v>21</v>
      </c>
      <c r="B7" s="3" t="s">
        <v>35</v>
      </c>
      <c r="C7" s="3" t="s">
        <v>36</v>
      </c>
      <c r="D7" s="3" t="s">
        <v>47</v>
      </c>
      <c r="E7" s="3" t="s">
        <v>48</v>
      </c>
      <c r="F7" s="3" t="s">
        <v>25</v>
      </c>
      <c r="G7" s="3" t="s">
        <v>25</v>
      </c>
      <c r="H7" s="3" t="s">
        <v>38</v>
      </c>
      <c r="I7" s="6">
        <v>44593</v>
      </c>
      <c r="J7" s="4">
        <v>0</v>
      </c>
      <c r="K7" s="52">
        <v>0</v>
      </c>
      <c r="L7" s="4">
        <v>9.2249999999999996</v>
      </c>
      <c r="M7" s="52">
        <v>9.2249999999999996</v>
      </c>
      <c r="N7" s="4">
        <v>9.2249999999999996</v>
      </c>
      <c r="O7" s="52">
        <v>9.2249999999999996</v>
      </c>
      <c r="P7" s="4">
        <v>0</v>
      </c>
      <c r="Q7" s="3" t="s">
        <v>26</v>
      </c>
      <c r="R7" s="3">
        <v>0</v>
      </c>
      <c r="S7" s="3">
        <v>0</v>
      </c>
      <c r="T7" s="3">
        <v>11</v>
      </c>
      <c r="U7" s="3">
        <v>56</v>
      </c>
      <c r="V7" s="52">
        <f>IF(ISERROR(VLOOKUP($S$7,'TAR FIN'!$A$1:$O$88,15,0)),0,VLOOKUP($S$7,'TAR FIN'!$A$1:$O$88,15,0))</f>
        <v>0</v>
      </c>
      <c r="W7" s="52">
        <f>IF(ISERROR(VLOOKUP($T$7,'TAR FIN'!$A$1:$O$88,15,0)),0,VLOOKUP($T$7,'TAR FIN'!$A$1:$O$88,15,0))*(1-0.06)</f>
        <v>63.468799999999995</v>
      </c>
      <c r="X7" s="52">
        <f>IF(ISERROR(VLOOKUP($U$7,'TAR FIN'!$A$1:$O$88,15,0)),0,VLOOKUP($U$7,'TAR FIN'!$A$1:$O$88,15,0))*(1-0.06)</f>
        <v>155.29740000000001</v>
      </c>
      <c r="Y7" s="52"/>
      <c r="Z7" s="52">
        <f ca="1">('TUSD BE'!$AM$12+'TUSD BF'!$AM$12+'TUSD CVA'!$AM$12)*1*(1-0.03)</f>
        <v>94.5230843835228</v>
      </c>
      <c r="AA7" s="52">
        <f>('TE BE'!$AB$6+'TE BF'!$AB$6+'TE CVA'!$AB$6)*1*(1-0.03)</f>
        <v>149.33869153269211</v>
      </c>
      <c r="AB7" s="52">
        <f>(SUBSIDIO!$J$7*SUBSIDIO!$V$7)*(0.06)/(1-0.06)</f>
        <v>0</v>
      </c>
      <c r="AC7" s="52">
        <f>((SUBSIDIO!$L$7*SUBSIDIO!$W$7)+(SUBSIDIO!$N$7*SUBSIDIO!$X$7))*(0.06)/(1-0.06)</f>
        <v>128.81605500000001</v>
      </c>
      <c r="AD7" s="52">
        <f>(SUBSIDIO!$J$7*SUBSIDIO!$Y$7)*(0.03)/(1-0.03)</f>
        <v>0</v>
      </c>
      <c r="AE7" s="52">
        <f ca="1">((SUBSIDIO!$L$7*SUBSIDIO!$Z$7)+(SUBSIDIO!$N$7*SUBSIDIO!$AA$7))*(0.03)/(1-0.03)</f>
        <v>69.576027303930374</v>
      </c>
      <c r="AF7" s="3" t="s">
        <v>549</v>
      </c>
      <c r="AH7" s="35" t="s">
        <v>552</v>
      </c>
      <c r="AI7" s="36">
        <f t="shared" si="0"/>
        <v>9572.1021099999998</v>
      </c>
      <c r="AJ7" s="36">
        <f t="shared" ca="1" si="1"/>
        <v>9826.9791306436837</v>
      </c>
    </row>
    <row r="8" spans="1:36" ht="11.25" customHeight="1" x14ac:dyDescent="0.25">
      <c r="A8" s="3" t="s">
        <v>21</v>
      </c>
      <c r="B8" s="3" t="s">
        <v>35</v>
      </c>
      <c r="C8" s="3" t="s">
        <v>36</v>
      </c>
      <c r="D8" s="3" t="s">
        <v>47</v>
      </c>
      <c r="E8" s="3" t="s">
        <v>48</v>
      </c>
      <c r="F8" s="3" t="s">
        <v>25</v>
      </c>
      <c r="G8" s="3" t="s">
        <v>25</v>
      </c>
      <c r="H8" s="3" t="s">
        <v>38</v>
      </c>
      <c r="I8" s="6">
        <v>44621</v>
      </c>
      <c r="J8" s="4">
        <v>0</v>
      </c>
      <c r="K8" s="52">
        <v>0</v>
      </c>
      <c r="L8" s="4">
        <v>9.3889999999999993</v>
      </c>
      <c r="M8" s="52">
        <v>9.3889999999999993</v>
      </c>
      <c r="N8" s="4">
        <v>9.3889999999999993</v>
      </c>
      <c r="O8" s="52">
        <v>9.3889999999999993</v>
      </c>
      <c r="P8" s="4">
        <v>0</v>
      </c>
      <c r="Q8" s="3" t="s">
        <v>26</v>
      </c>
      <c r="R8" s="3">
        <v>0</v>
      </c>
      <c r="S8" s="3">
        <v>0</v>
      </c>
      <c r="T8" s="3">
        <v>11</v>
      </c>
      <c r="U8" s="3">
        <v>56</v>
      </c>
      <c r="V8" s="52">
        <f>IF(ISERROR(VLOOKUP($S$8,'TAR FIN'!$A$1:$O$88,15,0)),0,VLOOKUP($S$8,'TAR FIN'!$A$1:$O$88,15,0))</f>
        <v>0</v>
      </c>
      <c r="W8" s="52">
        <f>IF(ISERROR(VLOOKUP($T$8,'TAR FIN'!$A$1:$O$88,15,0)),0,VLOOKUP($T$8,'TAR FIN'!$A$1:$O$88,15,0))*(1-0.06)</f>
        <v>63.468799999999995</v>
      </c>
      <c r="X8" s="52">
        <f>IF(ISERROR(VLOOKUP($U$8,'TAR FIN'!$A$1:$O$88,15,0)),0,VLOOKUP($U$8,'TAR FIN'!$A$1:$O$88,15,0))*(1-0.06)</f>
        <v>155.29740000000001</v>
      </c>
      <c r="Y8" s="52"/>
      <c r="Z8" s="52">
        <f ca="1">('TUSD BE'!$AM$12+'TUSD BF'!$AM$12+'TUSD CVA'!$AM$12)*1*(1-0.03)</f>
        <v>94.5230843835228</v>
      </c>
      <c r="AA8" s="52">
        <f>('TE BE'!$AB$6+'TE BF'!$AB$6+'TE CVA'!$AB$6)*1*(1-0.03)</f>
        <v>149.33869153269211</v>
      </c>
      <c r="AB8" s="52">
        <f>(SUBSIDIO!$J$8*SUBSIDIO!$V$8)*(0.06)/(1-0.06)</f>
        <v>0</v>
      </c>
      <c r="AC8" s="52">
        <f>((SUBSIDIO!$L$8*SUBSIDIO!$W$8)+(SUBSIDIO!$N$8*SUBSIDIO!$X$8))*(0.06)/(1-0.06)</f>
        <v>131.1061182</v>
      </c>
      <c r="AD8" s="52">
        <f>(SUBSIDIO!$J$8*SUBSIDIO!$Y$8)*(0.03)/(1-0.03)</f>
        <v>0</v>
      </c>
      <c r="AE8" s="52">
        <f ca="1">((SUBSIDIO!$L$8*SUBSIDIO!$Z$8)+(SUBSIDIO!$N$8*SUBSIDIO!$AA$8))*(0.03)/(1-0.03)</f>
        <v>70.812934456000249</v>
      </c>
      <c r="AF8" s="3" t="s">
        <v>549</v>
      </c>
      <c r="AH8" s="35" t="s">
        <v>550</v>
      </c>
      <c r="AI8" s="36">
        <f t="shared" si="0"/>
        <v>105846.56212999998</v>
      </c>
      <c r="AJ8" s="36">
        <f t="shared" ca="1" si="1"/>
        <v>106566.14273291492</v>
      </c>
    </row>
    <row r="9" spans="1:36" ht="11.25" customHeight="1" x14ac:dyDescent="0.25">
      <c r="A9" s="3" t="s">
        <v>21</v>
      </c>
      <c r="B9" s="3" t="s">
        <v>35</v>
      </c>
      <c r="C9" s="3" t="s">
        <v>36</v>
      </c>
      <c r="D9" s="3" t="s">
        <v>47</v>
      </c>
      <c r="E9" s="3" t="s">
        <v>48</v>
      </c>
      <c r="F9" s="3" t="s">
        <v>25</v>
      </c>
      <c r="G9" s="3" t="s">
        <v>25</v>
      </c>
      <c r="H9" s="3" t="s">
        <v>38</v>
      </c>
      <c r="I9" s="6">
        <v>44652</v>
      </c>
      <c r="J9" s="4">
        <v>0</v>
      </c>
      <c r="K9" s="52">
        <v>0</v>
      </c>
      <c r="L9" s="4">
        <v>8.4049999999999994</v>
      </c>
      <c r="M9" s="52">
        <v>8.4049999999999994</v>
      </c>
      <c r="N9" s="4">
        <v>8.4049999999999994</v>
      </c>
      <c r="O9" s="52">
        <v>8.4049999999999994</v>
      </c>
      <c r="P9" s="4">
        <v>0</v>
      </c>
      <c r="Q9" s="3" t="s">
        <v>26</v>
      </c>
      <c r="R9" s="3">
        <v>0</v>
      </c>
      <c r="S9" s="3">
        <v>0</v>
      </c>
      <c r="T9" s="3">
        <v>11</v>
      </c>
      <c r="U9" s="3">
        <v>56</v>
      </c>
      <c r="V9" s="52">
        <f>IF(ISERROR(VLOOKUP($S$9,'TAR FIN'!$A$1:$O$88,15,0)),0,VLOOKUP($S$9,'TAR FIN'!$A$1:$O$88,15,0))</f>
        <v>0</v>
      </c>
      <c r="W9" s="52">
        <f>IF(ISERROR(VLOOKUP($T$9,'TAR FIN'!$A$1:$O$88,15,0)),0,VLOOKUP($T$9,'TAR FIN'!$A$1:$O$88,15,0))*(1-0.06)</f>
        <v>63.468799999999995</v>
      </c>
      <c r="X9" s="52">
        <f>IF(ISERROR(VLOOKUP($U$9,'TAR FIN'!$A$1:$O$88,15,0)),0,VLOOKUP($U$9,'TAR FIN'!$A$1:$O$88,15,0))*(1-0.06)</f>
        <v>155.29740000000001</v>
      </c>
      <c r="Y9" s="52"/>
      <c r="Z9" s="52">
        <f ca="1">('TUSD BE'!$AM$12+'TUSD BF'!$AM$12+'TUSD CVA'!$AM$12)*1*(1-0.03)</f>
        <v>94.5230843835228</v>
      </c>
      <c r="AA9" s="52">
        <f>('TE BE'!$AB$6+'TE BF'!$AB$6+'TE CVA'!$AB$6)*1*(1-0.03)</f>
        <v>149.33869153269211</v>
      </c>
      <c r="AB9" s="52">
        <f>(SUBSIDIO!$J$9*SUBSIDIO!$V$9)*(0.06)/(1-0.06)</f>
        <v>0</v>
      </c>
      <c r="AC9" s="52">
        <f>((SUBSIDIO!$L$9*SUBSIDIO!$W$9)+(SUBSIDIO!$N$9*SUBSIDIO!$X$9))*(0.06)/(1-0.06)</f>
        <v>117.36573899999999</v>
      </c>
      <c r="AD9" s="52">
        <f>(SUBSIDIO!$J$9*SUBSIDIO!$Y$9)*(0.03)/(1-0.03)</f>
        <v>0</v>
      </c>
      <c r="AE9" s="52">
        <f ca="1">((SUBSIDIO!$L$9*SUBSIDIO!$Z$9)+(SUBSIDIO!$N$9*SUBSIDIO!$AA$9))*(0.03)/(1-0.03)</f>
        <v>63.391491543581012</v>
      </c>
      <c r="AF9" s="3" t="s">
        <v>549</v>
      </c>
      <c r="AH9" s="35" t="s">
        <v>558</v>
      </c>
      <c r="AI9" s="36">
        <f t="shared" si="0"/>
        <v>0</v>
      </c>
      <c r="AJ9" s="36">
        <f t="shared" si="1"/>
        <v>0</v>
      </c>
    </row>
    <row r="10" spans="1:36" ht="11.25" customHeight="1" x14ac:dyDescent="0.25">
      <c r="A10" s="3" t="s">
        <v>21</v>
      </c>
      <c r="B10" s="3" t="s">
        <v>35</v>
      </c>
      <c r="C10" s="3" t="s">
        <v>36</v>
      </c>
      <c r="D10" s="3" t="s">
        <v>47</v>
      </c>
      <c r="E10" s="3" t="s">
        <v>48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0</v>
      </c>
      <c r="K10" s="52">
        <v>0</v>
      </c>
      <c r="L10" s="4">
        <v>8.0359999999999996</v>
      </c>
      <c r="M10" s="52">
        <v>8.0359999999999996</v>
      </c>
      <c r="N10" s="4">
        <v>8.0359999999999996</v>
      </c>
      <c r="O10" s="52">
        <v>8.0359999999999996</v>
      </c>
      <c r="P10" s="4">
        <v>0</v>
      </c>
      <c r="Q10" s="3" t="s">
        <v>26</v>
      </c>
      <c r="R10" s="3">
        <v>0</v>
      </c>
      <c r="S10" s="3">
        <v>0</v>
      </c>
      <c r="T10" s="3">
        <v>11</v>
      </c>
      <c r="U10" s="3">
        <v>56</v>
      </c>
      <c r="V10" s="52">
        <f>IF(ISERROR(VLOOKUP($S$10,'TAR FIN'!$A$1:$O$88,15,0)),0,VLOOKUP($S$10,'TAR FIN'!$A$1:$O$88,15,0))</f>
        <v>0</v>
      </c>
      <c r="W10" s="52">
        <f>IF(ISERROR(VLOOKUP($T$10,'TAR FIN'!$A$1:$O$88,15,0)),0,VLOOKUP($T$10,'TAR FIN'!$A$1:$O$88,15,0))*(1-0.06)</f>
        <v>63.468799999999995</v>
      </c>
      <c r="X10" s="52">
        <f>IF(ISERROR(VLOOKUP($U$10,'TAR FIN'!$A$1:$O$88,15,0)),0,VLOOKUP($U$10,'TAR FIN'!$A$1:$O$88,15,0))*(1-0.06)</f>
        <v>155.29740000000001</v>
      </c>
      <c r="Y10" s="52"/>
      <c r="Z10" s="52">
        <f ca="1">('TUSD BE'!$AM$12+'TUSD BF'!$AM$12+'TUSD CVA'!$AM$12)*1*(1-0.03)</f>
        <v>94.5230843835228</v>
      </c>
      <c r="AA10" s="52">
        <f>('TE BE'!$AB$6+'TE BF'!$AB$6+'TE CVA'!$AB$6)*1*(1-0.03)</f>
        <v>149.33869153269211</v>
      </c>
      <c r="AB10" s="52">
        <f>(SUBSIDIO!$J$10*SUBSIDIO!$V$10)*(0.06)/(1-0.06)</f>
        <v>0</v>
      </c>
      <c r="AC10" s="52">
        <f>((SUBSIDIO!$L$10*SUBSIDIO!$W$10)+(SUBSIDIO!$N$10*SUBSIDIO!$X$10))*(0.06)/(1-0.06)</f>
        <v>112.21309679999999</v>
      </c>
      <c r="AD10" s="52">
        <f>(SUBSIDIO!$J$10*SUBSIDIO!$Y$10)*(0.03)/(1-0.03)</f>
        <v>0</v>
      </c>
      <c r="AE10" s="52">
        <f ca="1">((SUBSIDIO!$L$10*SUBSIDIO!$Z$10)+(SUBSIDIO!$N$10*SUBSIDIO!$AA$10))*(0.03)/(1-0.03)</f>
        <v>60.608450451423799</v>
      </c>
      <c r="AF10" s="3" t="s">
        <v>549</v>
      </c>
    </row>
    <row r="11" spans="1:36" ht="11.25" customHeight="1" x14ac:dyDescent="0.25">
      <c r="A11" s="3" t="s">
        <v>21</v>
      </c>
      <c r="B11" s="3" t="s">
        <v>35</v>
      </c>
      <c r="C11" s="3" t="s">
        <v>36</v>
      </c>
      <c r="D11" s="3" t="s">
        <v>47</v>
      </c>
      <c r="E11" s="3" t="s">
        <v>48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0</v>
      </c>
      <c r="K11" s="52">
        <v>0</v>
      </c>
      <c r="L11" s="4">
        <v>9.3480000000000008</v>
      </c>
      <c r="M11" s="52">
        <v>9.3480000000000008</v>
      </c>
      <c r="N11" s="4">
        <v>9.3480000000000008</v>
      </c>
      <c r="O11" s="52">
        <v>9.3480000000000008</v>
      </c>
      <c r="P11" s="4">
        <v>0</v>
      </c>
      <c r="Q11" s="3" t="s">
        <v>26</v>
      </c>
      <c r="R11" s="3">
        <v>0</v>
      </c>
      <c r="S11" s="3">
        <v>0</v>
      </c>
      <c r="T11" s="3">
        <v>11</v>
      </c>
      <c r="U11" s="3">
        <v>56</v>
      </c>
      <c r="V11" s="52">
        <f>IF(ISERROR(VLOOKUP($S$11,'TAR FIN'!$A$1:$O$88,15,0)),0,VLOOKUP($S$11,'TAR FIN'!$A$1:$O$88,15,0))</f>
        <v>0</v>
      </c>
      <c r="W11" s="52">
        <f>IF(ISERROR(VLOOKUP($T$11,'TAR FIN'!$A$1:$O$88,15,0)),0,VLOOKUP($T$11,'TAR FIN'!$A$1:$O$88,15,0))*(1-0.06)</f>
        <v>63.468799999999995</v>
      </c>
      <c r="X11" s="52">
        <f>IF(ISERROR(VLOOKUP($U$11,'TAR FIN'!$A$1:$O$88,15,0)),0,VLOOKUP($U$11,'TAR FIN'!$A$1:$O$88,15,0))*(1-0.06)</f>
        <v>155.29740000000001</v>
      </c>
      <c r="Y11" s="52"/>
      <c r="Z11" s="52">
        <f ca="1">('TUSD BE'!$AM$12+'TUSD BF'!$AM$12+'TUSD CVA'!$AM$12)*1*(1-0.03)</f>
        <v>94.5230843835228</v>
      </c>
      <c r="AA11" s="52">
        <f>('TE BE'!$AB$6+'TE BF'!$AB$6+'TE CVA'!$AB$6)*1*(1-0.03)</f>
        <v>149.33869153269211</v>
      </c>
      <c r="AB11" s="52">
        <f>(SUBSIDIO!$J$11*SUBSIDIO!$V$11)*(0.06)/(1-0.06)</f>
        <v>0</v>
      </c>
      <c r="AC11" s="52">
        <f>((SUBSIDIO!$L$11*SUBSIDIO!$W$11)+(SUBSIDIO!$N$11*SUBSIDIO!$X$11))*(0.06)/(1-0.06)</f>
        <v>130.53360240000004</v>
      </c>
      <c r="AD11" s="52">
        <f>(SUBSIDIO!$J$11*SUBSIDIO!$Y$11)*(0.03)/(1-0.03)</f>
        <v>0</v>
      </c>
      <c r="AE11" s="52">
        <f ca="1">((SUBSIDIO!$L$11*SUBSIDIO!$Z$11)+(SUBSIDIO!$N$11*SUBSIDIO!$AA$11))*(0.03)/(1-0.03)</f>
        <v>70.503707667982795</v>
      </c>
      <c r="AF11" s="3" t="s">
        <v>549</v>
      </c>
    </row>
    <row r="12" spans="1:36" ht="11.25" customHeight="1" x14ac:dyDescent="0.25">
      <c r="A12" s="3" t="s">
        <v>21</v>
      </c>
      <c r="B12" s="3" t="s">
        <v>35</v>
      </c>
      <c r="C12" s="3" t="s">
        <v>36</v>
      </c>
      <c r="D12" s="3" t="s">
        <v>47</v>
      </c>
      <c r="E12" s="3" t="s">
        <v>48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0</v>
      </c>
      <c r="K12" s="52">
        <v>0</v>
      </c>
      <c r="L12" s="4">
        <v>9.02</v>
      </c>
      <c r="M12" s="52">
        <v>9.02</v>
      </c>
      <c r="N12" s="4">
        <v>9.02</v>
      </c>
      <c r="O12" s="52">
        <v>9.02</v>
      </c>
      <c r="P12" s="4">
        <v>0</v>
      </c>
      <c r="Q12" s="3" t="s">
        <v>26</v>
      </c>
      <c r="R12" s="3">
        <v>0</v>
      </c>
      <c r="S12" s="3">
        <v>0</v>
      </c>
      <c r="T12" s="3">
        <v>11</v>
      </c>
      <c r="U12" s="3">
        <v>56</v>
      </c>
      <c r="V12" s="52">
        <f>IF(ISERROR(VLOOKUP($S$12,'TAR FIN'!$A$1:$O$88,15,0)),0,VLOOKUP($S$12,'TAR FIN'!$A$1:$O$88,15,0))</f>
        <v>0</v>
      </c>
      <c r="W12" s="52">
        <f>IF(ISERROR(VLOOKUP($T$12,'TAR FIN'!$A$1:$O$88,15,0)),0,VLOOKUP($T$12,'TAR FIN'!$A$1:$O$88,15,0))*(1-0.06)</f>
        <v>63.468799999999995</v>
      </c>
      <c r="X12" s="52">
        <f>IF(ISERROR(VLOOKUP($U$12,'TAR FIN'!$A$1:$O$88,15,0)),0,VLOOKUP($U$12,'TAR FIN'!$A$1:$O$88,15,0))*(1-0.06)</f>
        <v>155.29740000000001</v>
      </c>
      <c r="Y12" s="52"/>
      <c r="Z12" s="52">
        <f ca="1">('TUSD BE'!$AM$12+'TUSD BF'!$AM$12+'TUSD CVA'!$AM$12)*1*(1-0.03)</f>
        <v>94.5230843835228</v>
      </c>
      <c r="AA12" s="52">
        <f>('TE BE'!$AB$6+'TE BF'!$AB$6+'TE CVA'!$AB$6)*1*(1-0.03)</f>
        <v>149.33869153269211</v>
      </c>
      <c r="AB12" s="52">
        <f>(SUBSIDIO!$J$12*SUBSIDIO!$V$12)*(0.06)/(1-0.06)</f>
        <v>0</v>
      </c>
      <c r="AC12" s="52">
        <f>((SUBSIDIO!$L$12*SUBSIDIO!$W$12)+(SUBSIDIO!$N$12*SUBSIDIO!$X$12))*(0.06)/(1-0.06)</f>
        <v>125.95347600000001</v>
      </c>
      <c r="AD12" s="52">
        <f>(SUBSIDIO!$J$12*SUBSIDIO!$Y$12)*(0.03)/(1-0.03)</f>
        <v>0</v>
      </c>
      <c r="AE12" s="52">
        <f ca="1">((SUBSIDIO!$L$12*SUBSIDIO!$Z$12)+(SUBSIDIO!$N$12*SUBSIDIO!$AA$12))*(0.03)/(1-0.03)</f>
        <v>68.029893363843044</v>
      </c>
      <c r="AF12" s="3" t="s">
        <v>549</v>
      </c>
    </row>
    <row r="13" spans="1:36" ht="11.25" customHeight="1" x14ac:dyDescent="0.25">
      <c r="A13" s="3" t="s">
        <v>21</v>
      </c>
      <c r="B13" s="3" t="s">
        <v>35</v>
      </c>
      <c r="C13" s="3" t="s">
        <v>36</v>
      </c>
      <c r="D13" s="3" t="s">
        <v>47</v>
      </c>
      <c r="E13" s="3" t="s">
        <v>48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0</v>
      </c>
      <c r="K13" s="52">
        <v>0</v>
      </c>
      <c r="L13" s="4">
        <v>8.8559999999999999</v>
      </c>
      <c r="M13" s="52">
        <v>8.8559999999999999</v>
      </c>
      <c r="N13" s="4">
        <v>8.8559999999999999</v>
      </c>
      <c r="O13" s="52">
        <v>8.8559999999999999</v>
      </c>
      <c r="P13" s="4">
        <v>0</v>
      </c>
      <c r="Q13" s="3" t="s">
        <v>26</v>
      </c>
      <c r="R13" s="3">
        <v>0</v>
      </c>
      <c r="S13" s="3">
        <v>0</v>
      </c>
      <c r="T13" s="3">
        <v>11</v>
      </c>
      <c r="U13" s="3">
        <v>56</v>
      </c>
      <c r="V13" s="52">
        <f>IF(ISERROR(VLOOKUP($S$13,'TAR FIN'!$A$1:$O$88,15,0)),0,VLOOKUP($S$13,'TAR FIN'!$A$1:$O$88,15,0))</f>
        <v>0</v>
      </c>
      <c r="W13" s="52">
        <f>IF(ISERROR(VLOOKUP($T$13,'TAR FIN'!$A$1:$O$88,15,0)),0,VLOOKUP($T$13,'TAR FIN'!$A$1:$O$88,15,0))*(1-0.06)</f>
        <v>63.468799999999995</v>
      </c>
      <c r="X13" s="52">
        <f>IF(ISERROR(VLOOKUP($U$13,'TAR FIN'!$A$1:$O$88,15,0)),0,VLOOKUP($U$13,'TAR FIN'!$A$1:$O$88,15,0))*(1-0.06)</f>
        <v>155.29740000000001</v>
      </c>
      <c r="Y13" s="52"/>
      <c r="Z13" s="52">
        <f ca="1">('TUSD BE'!$AM$12+'TUSD BF'!$AM$12+'TUSD CVA'!$AM$12)*1*(1-0.03)</f>
        <v>94.5230843835228</v>
      </c>
      <c r="AA13" s="52">
        <f>('TE BE'!$AB$6+'TE BF'!$AB$6+'TE CVA'!$AB$6)*1*(1-0.03)</f>
        <v>149.33869153269211</v>
      </c>
      <c r="AB13" s="52">
        <f>(SUBSIDIO!$J$13*SUBSIDIO!$V$13)*(0.06)/(1-0.06)</f>
        <v>0</v>
      </c>
      <c r="AC13" s="52">
        <f>((SUBSIDIO!$L$13*SUBSIDIO!$W$13)+(SUBSIDIO!$N$13*SUBSIDIO!$X$13))*(0.06)/(1-0.06)</f>
        <v>123.6634128</v>
      </c>
      <c r="AD13" s="52">
        <f>(SUBSIDIO!$J$13*SUBSIDIO!$Y$13)*(0.03)/(1-0.03)</f>
        <v>0</v>
      </c>
      <c r="AE13" s="52">
        <f ca="1">((SUBSIDIO!$L$13*SUBSIDIO!$Z$13)+(SUBSIDIO!$N$13*SUBSIDIO!$AA$13))*(0.03)/(1-0.03)</f>
        <v>66.792986211773169</v>
      </c>
      <c r="AF13" s="3" t="s">
        <v>549</v>
      </c>
    </row>
    <row r="14" spans="1:36" ht="11.25" customHeight="1" x14ac:dyDescent="0.25">
      <c r="A14" s="3" t="s">
        <v>21</v>
      </c>
      <c r="B14" s="3" t="s">
        <v>35</v>
      </c>
      <c r="C14" s="3" t="s">
        <v>36</v>
      </c>
      <c r="D14" s="3" t="s">
        <v>47</v>
      </c>
      <c r="E14" s="3" t="s">
        <v>48</v>
      </c>
      <c r="F14" s="3" t="s">
        <v>25</v>
      </c>
      <c r="G14" s="3" t="s">
        <v>25</v>
      </c>
      <c r="H14" s="3" t="s">
        <v>25</v>
      </c>
      <c r="I14" s="6">
        <v>44440</v>
      </c>
      <c r="J14" s="4">
        <v>55</v>
      </c>
      <c r="K14" s="53">
        <v>55</v>
      </c>
      <c r="L14" s="4">
        <v>0</v>
      </c>
      <c r="M14" s="52">
        <v>0</v>
      </c>
      <c r="N14" s="4">
        <v>0</v>
      </c>
      <c r="O14" s="52">
        <v>0</v>
      </c>
      <c r="P14" s="4">
        <v>1</v>
      </c>
      <c r="Q14" s="3" t="s">
        <v>26</v>
      </c>
      <c r="R14" s="3">
        <v>0</v>
      </c>
      <c r="S14" s="3">
        <v>7</v>
      </c>
      <c r="T14" s="3">
        <v>0</v>
      </c>
      <c r="U14" s="3">
        <v>0</v>
      </c>
      <c r="V14" s="52">
        <f>IF(ISERROR(VLOOKUP($S$14,'TAR FIN'!$A$1:$O$88,15,0)),0,VLOOKUP($S$14,'TAR FIN'!$A$1:$O$88,15,0))*(1-0.06)</f>
        <v>30.286799999999996</v>
      </c>
      <c r="W14" s="52">
        <f>IF(ISERROR(VLOOKUP($T$14,'TAR FIN'!$A$1:$O$88,15,0)),0,VLOOKUP($T$14,'TAR FIN'!$A$1:$O$88,15,0))</f>
        <v>0</v>
      </c>
      <c r="X14" s="52">
        <f>IF(ISERROR(VLOOKUP($U$14,'TAR FIN'!$A$1:$O$88,15,0)),0,VLOOKUP($U$14,'TAR FIN'!$A$1:$O$88,15,0))</f>
        <v>0</v>
      </c>
      <c r="Y14" s="52">
        <f ca="1">('TUSD BE'!$AM$10+'TUSD BF'!$AM$10+'TUSD CVA'!$AM$10)*1*(1-0.03)</f>
        <v>33.372692675387505</v>
      </c>
      <c r="Z14" s="52"/>
      <c r="AA14" s="52"/>
      <c r="AB14" s="52">
        <f>(SUBSIDIO!$J$14*SUBSIDIO!$V$14)*(0.06)/(1-0.06)</f>
        <v>106.32600000000001</v>
      </c>
      <c r="AC14" s="52">
        <f>((SUBSIDIO!$L$14*SUBSIDIO!$W$14)+(SUBSIDIO!$N$14*SUBSIDIO!$X$14))*(0.06)/(1-0.06)</f>
        <v>0</v>
      </c>
      <c r="AD14" s="52">
        <f ca="1">(SUBSIDIO!$J$14*SUBSIDIO!$Y$14)*(0.03)/(1-0.03)</f>
        <v>56.767982385968438</v>
      </c>
      <c r="AE14" s="52">
        <f>((SUBSIDIO!$L$14*SUBSIDIO!$Z$14)+(SUBSIDIO!$N$14*SUBSIDIO!$AA$14))*(0.03)/(1-0.03)</f>
        <v>0</v>
      </c>
      <c r="AF14" s="3" t="s">
        <v>549</v>
      </c>
    </row>
    <row r="15" spans="1:36" ht="11.25" customHeight="1" x14ac:dyDescent="0.25">
      <c r="A15" s="3" t="s">
        <v>21</v>
      </c>
      <c r="B15" s="3" t="s">
        <v>35</v>
      </c>
      <c r="C15" s="3" t="s">
        <v>36</v>
      </c>
      <c r="D15" s="3" t="s">
        <v>47</v>
      </c>
      <c r="E15" s="3" t="s">
        <v>48</v>
      </c>
      <c r="F15" s="3" t="s">
        <v>25</v>
      </c>
      <c r="G15" s="3" t="s">
        <v>25</v>
      </c>
      <c r="H15" s="3" t="s">
        <v>25</v>
      </c>
      <c r="I15" s="6">
        <v>44470</v>
      </c>
      <c r="J15" s="4">
        <v>55</v>
      </c>
      <c r="K15" s="53">
        <v>55</v>
      </c>
      <c r="L15" s="4">
        <v>0</v>
      </c>
      <c r="M15" s="52">
        <v>0</v>
      </c>
      <c r="N15" s="4">
        <v>0</v>
      </c>
      <c r="O15" s="52">
        <v>0</v>
      </c>
      <c r="P15" s="4">
        <v>1</v>
      </c>
      <c r="Q15" s="3" t="s">
        <v>26</v>
      </c>
      <c r="R15" s="3">
        <v>0</v>
      </c>
      <c r="S15" s="3">
        <v>7</v>
      </c>
      <c r="T15" s="3">
        <v>0</v>
      </c>
      <c r="U15" s="3">
        <v>0</v>
      </c>
      <c r="V15" s="52">
        <f>IF(ISERROR(VLOOKUP($S$15,'TAR FIN'!$A$1:$O$88,15,0)),0,VLOOKUP($S$15,'TAR FIN'!$A$1:$O$88,15,0))*(1-0.06)</f>
        <v>30.286799999999996</v>
      </c>
      <c r="W15" s="52">
        <f>IF(ISERROR(VLOOKUP($T$15,'TAR FIN'!$A$1:$O$88,15,0)),0,VLOOKUP($T$15,'TAR FIN'!$A$1:$O$88,15,0))</f>
        <v>0</v>
      </c>
      <c r="X15" s="52">
        <f>IF(ISERROR(VLOOKUP($U$15,'TAR FIN'!$A$1:$O$88,15,0)),0,VLOOKUP($U$15,'TAR FIN'!$A$1:$O$88,15,0))</f>
        <v>0</v>
      </c>
      <c r="Y15" s="52">
        <f ca="1">('TUSD BE'!$AM$10+'TUSD BF'!$AM$10+'TUSD CVA'!$AM$10)*1*(1-0.03)</f>
        <v>33.372692675387505</v>
      </c>
      <c r="Z15" s="52"/>
      <c r="AA15" s="52"/>
      <c r="AB15" s="52">
        <f>(SUBSIDIO!$J$15*SUBSIDIO!$V$15)*(0.06)/(1-0.06)</f>
        <v>106.32600000000001</v>
      </c>
      <c r="AC15" s="52">
        <f>((SUBSIDIO!$L$15*SUBSIDIO!$W$15)+(SUBSIDIO!$N$15*SUBSIDIO!$X$15))*(0.06)/(1-0.06)</f>
        <v>0</v>
      </c>
      <c r="AD15" s="52">
        <f ca="1">(SUBSIDIO!$J$15*SUBSIDIO!$Y$15)*(0.03)/(1-0.03)</f>
        <v>56.767982385968438</v>
      </c>
      <c r="AE15" s="52">
        <f>((SUBSIDIO!$L$15*SUBSIDIO!$Z$15)+(SUBSIDIO!$N$15*SUBSIDIO!$AA$15))*(0.03)/(1-0.03)</f>
        <v>0</v>
      </c>
      <c r="AF15" s="3" t="s">
        <v>549</v>
      </c>
    </row>
    <row r="16" spans="1:36" ht="11.25" customHeight="1" x14ac:dyDescent="0.25">
      <c r="A16" s="3" t="s">
        <v>21</v>
      </c>
      <c r="B16" s="3" t="s">
        <v>35</v>
      </c>
      <c r="C16" s="3" t="s">
        <v>36</v>
      </c>
      <c r="D16" s="3" t="s">
        <v>47</v>
      </c>
      <c r="E16" s="3" t="s">
        <v>48</v>
      </c>
      <c r="F16" s="3" t="s">
        <v>25</v>
      </c>
      <c r="G16" s="3" t="s">
        <v>25</v>
      </c>
      <c r="H16" s="3" t="s">
        <v>25</v>
      </c>
      <c r="I16" s="6">
        <v>44501</v>
      </c>
      <c r="J16" s="4">
        <v>55</v>
      </c>
      <c r="K16" s="53">
        <v>55</v>
      </c>
      <c r="L16" s="4">
        <v>0</v>
      </c>
      <c r="M16" s="52">
        <v>0</v>
      </c>
      <c r="N16" s="4">
        <v>0</v>
      </c>
      <c r="O16" s="52">
        <v>0</v>
      </c>
      <c r="P16" s="4">
        <v>1</v>
      </c>
      <c r="Q16" s="3" t="s">
        <v>26</v>
      </c>
      <c r="R16" s="3">
        <v>0</v>
      </c>
      <c r="S16" s="3">
        <v>7</v>
      </c>
      <c r="T16" s="3">
        <v>0</v>
      </c>
      <c r="U16" s="3">
        <v>0</v>
      </c>
      <c r="V16" s="52">
        <f>IF(ISERROR(VLOOKUP($S$16,'TAR FIN'!$A$1:$O$88,15,0)),0,VLOOKUP($S$16,'TAR FIN'!$A$1:$O$88,15,0))*(1-0.06)</f>
        <v>30.286799999999996</v>
      </c>
      <c r="W16" s="52">
        <f>IF(ISERROR(VLOOKUP($T$16,'TAR FIN'!$A$1:$O$88,15,0)),0,VLOOKUP($T$16,'TAR FIN'!$A$1:$O$88,15,0))</f>
        <v>0</v>
      </c>
      <c r="X16" s="52">
        <f>IF(ISERROR(VLOOKUP($U$16,'TAR FIN'!$A$1:$O$88,15,0)),0,VLOOKUP($U$16,'TAR FIN'!$A$1:$O$88,15,0))</f>
        <v>0</v>
      </c>
      <c r="Y16" s="52">
        <f ca="1">('TUSD BE'!$AM$10+'TUSD BF'!$AM$10+'TUSD CVA'!$AM$10)*1*(1-0.03)</f>
        <v>33.372692675387505</v>
      </c>
      <c r="Z16" s="52"/>
      <c r="AA16" s="52"/>
      <c r="AB16" s="52">
        <f>(SUBSIDIO!$J$16*SUBSIDIO!$V$16)*(0.06)/(1-0.06)</f>
        <v>106.32600000000001</v>
      </c>
      <c r="AC16" s="52">
        <f>((SUBSIDIO!$L$16*SUBSIDIO!$W$16)+(SUBSIDIO!$N$16*SUBSIDIO!$X$16))*(0.06)/(1-0.06)</f>
        <v>0</v>
      </c>
      <c r="AD16" s="52">
        <f ca="1">(SUBSIDIO!$J$16*SUBSIDIO!$Y$16)*(0.03)/(1-0.03)</f>
        <v>56.767982385968438</v>
      </c>
      <c r="AE16" s="52">
        <f>((SUBSIDIO!$L$16*SUBSIDIO!$Z$16)+(SUBSIDIO!$N$16*SUBSIDIO!$AA$16))*(0.03)/(1-0.03)</f>
        <v>0</v>
      </c>
      <c r="AF16" s="3" t="s">
        <v>549</v>
      </c>
    </row>
    <row r="17" spans="1:32" ht="11.25" customHeight="1" x14ac:dyDescent="0.25">
      <c r="A17" s="3" t="s">
        <v>21</v>
      </c>
      <c r="B17" s="3" t="s">
        <v>35</v>
      </c>
      <c r="C17" s="3" t="s">
        <v>36</v>
      </c>
      <c r="D17" s="3" t="s">
        <v>47</v>
      </c>
      <c r="E17" s="3" t="s">
        <v>48</v>
      </c>
      <c r="F17" s="3" t="s">
        <v>25</v>
      </c>
      <c r="G17" s="3" t="s">
        <v>25</v>
      </c>
      <c r="H17" s="3" t="s">
        <v>25</v>
      </c>
      <c r="I17" s="6">
        <v>44531</v>
      </c>
      <c r="J17" s="4">
        <v>55</v>
      </c>
      <c r="K17" s="53">
        <v>55</v>
      </c>
      <c r="L17" s="4">
        <v>0</v>
      </c>
      <c r="M17" s="52">
        <v>0</v>
      </c>
      <c r="N17" s="4">
        <v>0</v>
      </c>
      <c r="O17" s="52">
        <v>0</v>
      </c>
      <c r="P17" s="4">
        <v>1</v>
      </c>
      <c r="Q17" s="3" t="s">
        <v>26</v>
      </c>
      <c r="R17" s="3">
        <v>0</v>
      </c>
      <c r="S17" s="3">
        <v>7</v>
      </c>
      <c r="T17" s="3">
        <v>0</v>
      </c>
      <c r="U17" s="3">
        <v>0</v>
      </c>
      <c r="V17" s="52">
        <f>IF(ISERROR(VLOOKUP($S$17,'TAR FIN'!$A$1:$O$88,15,0)),0,VLOOKUP($S$17,'TAR FIN'!$A$1:$O$88,15,0))*(1-0.06)</f>
        <v>30.286799999999996</v>
      </c>
      <c r="W17" s="52">
        <f>IF(ISERROR(VLOOKUP($T$17,'TAR FIN'!$A$1:$O$88,15,0)),0,VLOOKUP($T$17,'TAR FIN'!$A$1:$O$88,15,0))</f>
        <v>0</v>
      </c>
      <c r="X17" s="52">
        <f>IF(ISERROR(VLOOKUP($U$17,'TAR FIN'!$A$1:$O$88,15,0)),0,VLOOKUP($U$17,'TAR FIN'!$A$1:$O$88,15,0))</f>
        <v>0</v>
      </c>
      <c r="Y17" s="52">
        <f ca="1">('TUSD BE'!$AM$10+'TUSD BF'!$AM$10+'TUSD CVA'!$AM$10)*1*(1-0.03)</f>
        <v>33.372692675387505</v>
      </c>
      <c r="Z17" s="52"/>
      <c r="AA17" s="52"/>
      <c r="AB17" s="52">
        <f>(SUBSIDIO!$J$17*SUBSIDIO!$V$17)*(0.06)/(1-0.06)</f>
        <v>106.32600000000001</v>
      </c>
      <c r="AC17" s="52">
        <f>((SUBSIDIO!$L$17*SUBSIDIO!$W$17)+(SUBSIDIO!$N$17*SUBSIDIO!$X$17))*(0.06)/(1-0.06)</f>
        <v>0</v>
      </c>
      <c r="AD17" s="52">
        <f ca="1">(SUBSIDIO!$J$17*SUBSIDIO!$Y$17)*(0.03)/(1-0.03)</f>
        <v>56.767982385968438</v>
      </c>
      <c r="AE17" s="52">
        <f>((SUBSIDIO!$L$17*SUBSIDIO!$Z$17)+(SUBSIDIO!$N$17*SUBSIDIO!$AA$17))*(0.03)/(1-0.03)</f>
        <v>0</v>
      </c>
      <c r="AF17" s="3" t="s">
        <v>549</v>
      </c>
    </row>
    <row r="18" spans="1:32" ht="11.25" customHeight="1" x14ac:dyDescent="0.25">
      <c r="A18" s="3" t="s">
        <v>21</v>
      </c>
      <c r="B18" s="3" t="s">
        <v>35</v>
      </c>
      <c r="C18" s="3" t="s">
        <v>36</v>
      </c>
      <c r="D18" s="3" t="s">
        <v>47</v>
      </c>
      <c r="E18" s="3" t="s">
        <v>48</v>
      </c>
      <c r="F18" s="3" t="s">
        <v>25</v>
      </c>
      <c r="G18" s="3" t="s">
        <v>25</v>
      </c>
      <c r="H18" s="3" t="s">
        <v>25</v>
      </c>
      <c r="I18" s="6">
        <v>44562</v>
      </c>
      <c r="J18" s="4">
        <v>55</v>
      </c>
      <c r="K18" s="53">
        <v>55</v>
      </c>
      <c r="L18" s="4">
        <v>0</v>
      </c>
      <c r="M18" s="52">
        <v>0</v>
      </c>
      <c r="N18" s="4">
        <v>0</v>
      </c>
      <c r="O18" s="52">
        <v>0</v>
      </c>
      <c r="P18" s="4">
        <v>1</v>
      </c>
      <c r="Q18" s="3" t="s">
        <v>26</v>
      </c>
      <c r="R18" s="3">
        <v>0</v>
      </c>
      <c r="S18" s="3">
        <v>7</v>
      </c>
      <c r="T18" s="3">
        <v>0</v>
      </c>
      <c r="U18" s="3">
        <v>0</v>
      </c>
      <c r="V18" s="52">
        <f>IF(ISERROR(VLOOKUP($S$18,'TAR FIN'!$A$1:$O$88,15,0)),0,VLOOKUP($S$18,'TAR FIN'!$A$1:$O$88,15,0))*(1-0.06)</f>
        <v>30.286799999999996</v>
      </c>
      <c r="W18" s="52">
        <f>IF(ISERROR(VLOOKUP($T$18,'TAR FIN'!$A$1:$O$88,15,0)),0,VLOOKUP($T$18,'TAR FIN'!$A$1:$O$88,15,0))</f>
        <v>0</v>
      </c>
      <c r="X18" s="52">
        <f>IF(ISERROR(VLOOKUP($U$18,'TAR FIN'!$A$1:$O$88,15,0)),0,VLOOKUP($U$18,'TAR FIN'!$A$1:$O$88,15,0))</f>
        <v>0</v>
      </c>
      <c r="Y18" s="52">
        <f ca="1">('TUSD BE'!$AM$10+'TUSD BF'!$AM$10+'TUSD CVA'!$AM$10)*1*(1-0.03)</f>
        <v>33.372692675387505</v>
      </c>
      <c r="Z18" s="52"/>
      <c r="AA18" s="52"/>
      <c r="AB18" s="52">
        <f>(SUBSIDIO!$J$18*SUBSIDIO!$V$18)*(0.06)/(1-0.06)</f>
        <v>106.32600000000001</v>
      </c>
      <c r="AC18" s="52">
        <f>((SUBSIDIO!$L$18*SUBSIDIO!$W$18)+(SUBSIDIO!$N$18*SUBSIDIO!$X$18))*(0.06)/(1-0.06)</f>
        <v>0</v>
      </c>
      <c r="AD18" s="52">
        <f ca="1">(SUBSIDIO!$J$18*SUBSIDIO!$Y$18)*(0.03)/(1-0.03)</f>
        <v>56.767982385968438</v>
      </c>
      <c r="AE18" s="52">
        <f>((SUBSIDIO!$L$18*SUBSIDIO!$Z$18)+(SUBSIDIO!$N$18*SUBSIDIO!$AA$18))*(0.03)/(1-0.03)</f>
        <v>0</v>
      </c>
      <c r="AF18" s="3" t="s">
        <v>549</v>
      </c>
    </row>
    <row r="19" spans="1:32" ht="11.25" customHeight="1" x14ac:dyDescent="0.25">
      <c r="A19" s="3" t="s">
        <v>21</v>
      </c>
      <c r="B19" s="3" t="s">
        <v>35</v>
      </c>
      <c r="C19" s="3" t="s">
        <v>36</v>
      </c>
      <c r="D19" s="3" t="s">
        <v>47</v>
      </c>
      <c r="E19" s="3" t="s">
        <v>48</v>
      </c>
      <c r="F19" s="3" t="s">
        <v>25</v>
      </c>
      <c r="G19" s="3" t="s">
        <v>25</v>
      </c>
      <c r="H19" s="3" t="s">
        <v>25</v>
      </c>
      <c r="I19" s="6">
        <v>44593</v>
      </c>
      <c r="J19" s="4">
        <v>55</v>
      </c>
      <c r="K19" s="53">
        <v>55</v>
      </c>
      <c r="L19" s="4">
        <v>0</v>
      </c>
      <c r="M19" s="52">
        <v>0</v>
      </c>
      <c r="N19" s="4">
        <v>0</v>
      </c>
      <c r="O19" s="52">
        <v>0</v>
      </c>
      <c r="P19" s="4">
        <v>1</v>
      </c>
      <c r="Q19" s="3" t="s">
        <v>26</v>
      </c>
      <c r="R19" s="3">
        <v>0</v>
      </c>
      <c r="S19" s="3">
        <v>7</v>
      </c>
      <c r="T19" s="3">
        <v>0</v>
      </c>
      <c r="U19" s="3">
        <v>0</v>
      </c>
      <c r="V19" s="52">
        <f>IF(ISERROR(VLOOKUP($S$19,'TAR FIN'!$A$1:$O$88,15,0)),0,VLOOKUP($S$19,'TAR FIN'!$A$1:$O$88,15,0))*(1-0.06)</f>
        <v>30.286799999999996</v>
      </c>
      <c r="W19" s="52">
        <f>IF(ISERROR(VLOOKUP($T$19,'TAR FIN'!$A$1:$O$88,15,0)),0,VLOOKUP($T$19,'TAR FIN'!$A$1:$O$88,15,0))</f>
        <v>0</v>
      </c>
      <c r="X19" s="52">
        <f>IF(ISERROR(VLOOKUP($U$19,'TAR FIN'!$A$1:$O$88,15,0)),0,VLOOKUP($U$19,'TAR FIN'!$A$1:$O$88,15,0))</f>
        <v>0</v>
      </c>
      <c r="Y19" s="52">
        <f ca="1">('TUSD BE'!$AM$10+'TUSD BF'!$AM$10+'TUSD CVA'!$AM$10)*1*(1-0.03)</f>
        <v>33.372692675387505</v>
      </c>
      <c r="Z19" s="52"/>
      <c r="AA19" s="52"/>
      <c r="AB19" s="52">
        <f>(SUBSIDIO!$J$19*SUBSIDIO!$V$19)*(0.06)/(1-0.06)</f>
        <v>106.32600000000001</v>
      </c>
      <c r="AC19" s="52">
        <f>((SUBSIDIO!$L$19*SUBSIDIO!$W$19)+(SUBSIDIO!$N$19*SUBSIDIO!$X$19))*(0.06)/(1-0.06)</f>
        <v>0</v>
      </c>
      <c r="AD19" s="52">
        <f ca="1">(SUBSIDIO!$J$19*SUBSIDIO!$Y$19)*(0.03)/(1-0.03)</f>
        <v>56.767982385968438</v>
      </c>
      <c r="AE19" s="52">
        <f>((SUBSIDIO!$L$19*SUBSIDIO!$Z$19)+(SUBSIDIO!$N$19*SUBSIDIO!$AA$19))*(0.03)/(1-0.03)</f>
        <v>0</v>
      </c>
      <c r="AF19" s="3" t="s">
        <v>549</v>
      </c>
    </row>
    <row r="20" spans="1:32" ht="11.25" customHeight="1" x14ac:dyDescent="0.25">
      <c r="A20" s="3" t="s">
        <v>21</v>
      </c>
      <c r="B20" s="3" t="s">
        <v>35</v>
      </c>
      <c r="C20" s="3" t="s">
        <v>36</v>
      </c>
      <c r="D20" s="3" t="s">
        <v>47</v>
      </c>
      <c r="E20" s="3" t="s">
        <v>48</v>
      </c>
      <c r="F20" s="3" t="s">
        <v>25</v>
      </c>
      <c r="G20" s="3" t="s">
        <v>25</v>
      </c>
      <c r="H20" s="3" t="s">
        <v>25</v>
      </c>
      <c r="I20" s="6">
        <v>44621</v>
      </c>
      <c r="J20" s="4">
        <v>55</v>
      </c>
      <c r="K20" s="53">
        <v>55</v>
      </c>
      <c r="L20" s="4">
        <v>0</v>
      </c>
      <c r="M20" s="52">
        <v>0</v>
      </c>
      <c r="N20" s="4">
        <v>0</v>
      </c>
      <c r="O20" s="52">
        <v>0</v>
      </c>
      <c r="P20" s="4">
        <v>1</v>
      </c>
      <c r="Q20" s="3" t="s">
        <v>26</v>
      </c>
      <c r="R20" s="3">
        <v>0</v>
      </c>
      <c r="S20" s="3">
        <v>7</v>
      </c>
      <c r="T20" s="3">
        <v>0</v>
      </c>
      <c r="U20" s="3">
        <v>0</v>
      </c>
      <c r="V20" s="52">
        <f>IF(ISERROR(VLOOKUP($S$20,'TAR FIN'!$A$1:$O$88,15,0)),0,VLOOKUP($S$20,'TAR FIN'!$A$1:$O$88,15,0))*(1-0.06)</f>
        <v>30.286799999999996</v>
      </c>
      <c r="W20" s="52">
        <f>IF(ISERROR(VLOOKUP($T$20,'TAR FIN'!$A$1:$O$88,15,0)),0,VLOOKUP($T$20,'TAR FIN'!$A$1:$O$88,15,0))</f>
        <v>0</v>
      </c>
      <c r="X20" s="52">
        <f>IF(ISERROR(VLOOKUP($U$20,'TAR FIN'!$A$1:$O$88,15,0)),0,VLOOKUP($U$20,'TAR FIN'!$A$1:$O$88,15,0))</f>
        <v>0</v>
      </c>
      <c r="Y20" s="52">
        <f ca="1">('TUSD BE'!$AM$10+'TUSD BF'!$AM$10+'TUSD CVA'!$AM$10)*1*(1-0.03)</f>
        <v>33.372692675387505</v>
      </c>
      <c r="Z20" s="52"/>
      <c r="AA20" s="52"/>
      <c r="AB20" s="52">
        <f>(SUBSIDIO!$J$20*SUBSIDIO!$V$20)*(0.06)/(1-0.06)</f>
        <v>106.32600000000001</v>
      </c>
      <c r="AC20" s="52">
        <f>((SUBSIDIO!$L$20*SUBSIDIO!$W$20)+(SUBSIDIO!$N$20*SUBSIDIO!$X$20))*(0.06)/(1-0.06)</f>
        <v>0</v>
      </c>
      <c r="AD20" s="52">
        <f ca="1">(SUBSIDIO!$J$20*SUBSIDIO!$Y$20)*(0.03)/(1-0.03)</f>
        <v>56.767982385968438</v>
      </c>
      <c r="AE20" s="52">
        <f>((SUBSIDIO!$L$20*SUBSIDIO!$Z$20)+(SUBSIDIO!$N$20*SUBSIDIO!$AA$20))*(0.03)/(1-0.03)</f>
        <v>0</v>
      </c>
      <c r="AF20" s="3" t="s">
        <v>549</v>
      </c>
    </row>
    <row r="21" spans="1:32" ht="11.25" customHeight="1" x14ac:dyDescent="0.25">
      <c r="A21" s="3" t="s">
        <v>21</v>
      </c>
      <c r="B21" s="3" t="s">
        <v>35</v>
      </c>
      <c r="C21" s="3" t="s">
        <v>36</v>
      </c>
      <c r="D21" s="3" t="s">
        <v>47</v>
      </c>
      <c r="E21" s="3" t="s">
        <v>48</v>
      </c>
      <c r="F21" s="3" t="s">
        <v>25</v>
      </c>
      <c r="G21" s="3" t="s">
        <v>25</v>
      </c>
      <c r="H21" s="3" t="s">
        <v>25</v>
      </c>
      <c r="I21" s="6">
        <v>44652</v>
      </c>
      <c r="J21" s="4">
        <v>55</v>
      </c>
      <c r="K21" s="53">
        <v>55</v>
      </c>
      <c r="L21" s="4">
        <v>0</v>
      </c>
      <c r="M21" s="52">
        <v>0</v>
      </c>
      <c r="N21" s="4">
        <v>0</v>
      </c>
      <c r="O21" s="52">
        <v>0</v>
      </c>
      <c r="P21" s="4">
        <v>1</v>
      </c>
      <c r="Q21" s="3" t="s">
        <v>26</v>
      </c>
      <c r="R21" s="3">
        <v>0</v>
      </c>
      <c r="S21" s="3">
        <v>7</v>
      </c>
      <c r="T21" s="3">
        <v>0</v>
      </c>
      <c r="U21" s="3">
        <v>0</v>
      </c>
      <c r="V21" s="52">
        <f>IF(ISERROR(VLOOKUP($S$21,'TAR FIN'!$A$1:$O$88,15,0)),0,VLOOKUP($S$21,'TAR FIN'!$A$1:$O$88,15,0))*(1-0.06)</f>
        <v>30.286799999999996</v>
      </c>
      <c r="W21" s="52">
        <f>IF(ISERROR(VLOOKUP($T$21,'TAR FIN'!$A$1:$O$88,15,0)),0,VLOOKUP($T$21,'TAR FIN'!$A$1:$O$88,15,0))</f>
        <v>0</v>
      </c>
      <c r="X21" s="52">
        <f>IF(ISERROR(VLOOKUP($U$21,'TAR FIN'!$A$1:$O$88,15,0)),0,VLOOKUP($U$21,'TAR FIN'!$A$1:$O$88,15,0))</f>
        <v>0</v>
      </c>
      <c r="Y21" s="52">
        <f ca="1">('TUSD BE'!$AM$10+'TUSD BF'!$AM$10+'TUSD CVA'!$AM$10)*1*(1-0.03)</f>
        <v>33.372692675387505</v>
      </c>
      <c r="Z21" s="52"/>
      <c r="AA21" s="52"/>
      <c r="AB21" s="52">
        <f>(SUBSIDIO!$J$21*SUBSIDIO!$V$21)*(0.06)/(1-0.06)</f>
        <v>106.32600000000001</v>
      </c>
      <c r="AC21" s="52">
        <f>((SUBSIDIO!$L$21*SUBSIDIO!$W$21)+(SUBSIDIO!$N$21*SUBSIDIO!$X$21))*(0.06)/(1-0.06)</f>
        <v>0</v>
      </c>
      <c r="AD21" s="52">
        <f ca="1">(SUBSIDIO!$J$21*SUBSIDIO!$Y$21)*(0.03)/(1-0.03)</f>
        <v>56.767982385968438</v>
      </c>
      <c r="AE21" s="52">
        <f>((SUBSIDIO!$L$21*SUBSIDIO!$Z$21)+(SUBSIDIO!$N$21*SUBSIDIO!$AA$21))*(0.03)/(1-0.03)</f>
        <v>0</v>
      </c>
      <c r="AF21" s="3" t="s">
        <v>549</v>
      </c>
    </row>
    <row r="22" spans="1:32" ht="11.25" customHeight="1" x14ac:dyDescent="0.25">
      <c r="A22" s="3" t="s">
        <v>21</v>
      </c>
      <c r="B22" s="3" t="s">
        <v>35</v>
      </c>
      <c r="C22" s="3" t="s">
        <v>36</v>
      </c>
      <c r="D22" s="3" t="s">
        <v>47</v>
      </c>
      <c r="E22" s="3" t="s">
        <v>48</v>
      </c>
      <c r="F22" s="3" t="s">
        <v>25</v>
      </c>
      <c r="G22" s="3" t="s">
        <v>25</v>
      </c>
      <c r="H22" s="3" t="s">
        <v>25</v>
      </c>
      <c r="I22" s="6">
        <v>44682</v>
      </c>
      <c r="J22" s="4">
        <v>55</v>
      </c>
      <c r="K22" s="53">
        <v>55</v>
      </c>
      <c r="L22" s="4">
        <v>0</v>
      </c>
      <c r="M22" s="52">
        <v>0</v>
      </c>
      <c r="N22" s="4">
        <v>0</v>
      </c>
      <c r="O22" s="52">
        <v>0</v>
      </c>
      <c r="P22" s="4">
        <v>1</v>
      </c>
      <c r="Q22" s="3" t="s">
        <v>26</v>
      </c>
      <c r="R22" s="3">
        <v>0</v>
      </c>
      <c r="S22" s="3">
        <v>7</v>
      </c>
      <c r="T22" s="3">
        <v>0</v>
      </c>
      <c r="U22" s="3">
        <v>0</v>
      </c>
      <c r="V22" s="52">
        <f>IF(ISERROR(VLOOKUP($S$22,'TAR FIN'!$A$1:$O$88,15,0)),0,VLOOKUP($S$22,'TAR FIN'!$A$1:$O$88,15,0))*(1-0.06)</f>
        <v>30.286799999999996</v>
      </c>
      <c r="W22" s="52">
        <f>IF(ISERROR(VLOOKUP($T$22,'TAR FIN'!$A$1:$O$88,15,0)),0,VLOOKUP($T$22,'TAR FIN'!$A$1:$O$88,15,0))</f>
        <v>0</v>
      </c>
      <c r="X22" s="52">
        <f>IF(ISERROR(VLOOKUP($U$22,'TAR FIN'!$A$1:$O$88,15,0)),0,VLOOKUP($U$22,'TAR FIN'!$A$1:$O$88,15,0))</f>
        <v>0</v>
      </c>
      <c r="Y22" s="52">
        <f ca="1">('TUSD BE'!$AM$10+'TUSD BF'!$AM$10+'TUSD CVA'!$AM$10)*1*(1-0.03)</f>
        <v>33.372692675387505</v>
      </c>
      <c r="Z22" s="52"/>
      <c r="AA22" s="52"/>
      <c r="AB22" s="52">
        <f>(SUBSIDIO!$J$22*SUBSIDIO!$V$22)*(0.06)/(1-0.06)</f>
        <v>106.32600000000001</v>
      </c>
      <c r="AC22" s="52">
        <f>((SUBSIDIO!$L$22*SUBSIDIO!$W$22)+(SUBSIDIO!$N$22*SUBSIDIO!$X$22))*(0.06)/(1-0.06)</f>
        <v>0</v>
      </c>
      <c r="AD22" s="52">
        <f ca="1">(SUBSIDIO!$J$22*SUBSIDIO!$Y$22)*(0.03)/(1-0.03)</f>
        <v>56.767982385968438</v>
      </c>
      <c r="AE22" s="52">
        <f>((SUBSIDIO!$L$22*SUBSIDIO!$Z$22)+(SUBSIDIO!$N$22*SUBSIDIO!$AA$22))*(0.03)/(1-0.03)</f>
        <v>0</v>
      </c>
      <c r="AF22" s="3" t="s">
        <v>549</v>
      </c>
    </row>
    <row r="23" spans="1:32" ht="11.25" customHeight="1" x14ac:dyDescent="0.25">
      <c r="A23" s="3" t="s">
        <v>21</v>
      </c>
      <c r="B23" s="3" t="s">
        <v>35</v>
      </c>
      <c r="C23" s="3" t="s">
        <v>36</v>
      </c>
      <c r="D23" s="3" t="s">
        <v>47</v>
      </c>
      <c r="E23" s="3" t="s">
        <v>48</v>
      </c>
      <c r="F23" s="3" t="s">
        <v>25</v>
      </c>
      <c r="G23" s="3" t="s">
        <v>25</v>
      </c>
      <c r="H23" s="3" t="s">
        <v>25</v>
      </c>
      <c r="I23" s="6">
        <v>44713</v>
      </c>
      <c r="J23" s="4">
        <v>55</v>
      </c>
      <c r="K23" s="53">
        <v>55</v>
      </c>
      <c r="L23" s="4">
        <v>0</v>
      </c>
      <c r="M23" s="52">
        <v>0</v>
      </c>
      <c r="N23" s="4">
        <v>0</v>
      </c>
      <c r="O23" s="52">
        <v>0</v>
      </c>
      <c r="P23" s="4">
        <v>1</v>
      </c>
      <c r="Q23" s="3" t="s">
        <v>26</v>
      </c>
      <c r="R23" s="3">
        <v>0</v>
      </c>
      <c r="S23" s="3">
        <v>7</v>
      </c>
      <c r="T23" s="3">
        <v>0</v>
      </c>
      <c r="U23" s="3">
        <v>0</v>
      </c>
      <c r="V23" s="52">
        <f>IF(ISERROR(VLOOKUP($S$23,'TAR FIN'!$A$1:$O$88,15,0)),0,VLOOKUP($S$23,'TAR FIN'!$A$1:$O$88,15,0))*(1-0.06)</f>
        <v>30.286799999999996</v>
      </c>
      <c r="W23" s="52">
        <f>IF(ISERROR(VLOOKUP($T$23,'TAR FIN'!$A$1:$O$88,15,0)),0,VLOOKUP($T$23,'TAR FIN'!$A$1:$O$88,15,0))</f>
        <v>0</v>
      </c>
      <c r="X23" s="52">
        <f>IF(ISERROR(VLOOKUP($U$23,'TAR FIN'!$A$1:$O$88,15,0)),0,VLOOKUP($U$23,'TAR FIN'!$A$1:$O$88,15,0))</f>
        <v>0</v>
      </c>
      <c r="Y23" s="52">
        <f ca="1">('TUSD BE'!$AM$10+'TUSD BF'!$AM$10+'TUSD CVA'!$AM$10)*1*(1-0.03)</f>
        <v>33.372692675387505</v>
      </c>
      <c r="Z23" s="52"/>
      <c r="AA23" s="52"/>
      <c r="AB23" s="52">
        <f>(SUBSIDIO!$J$23*SUBSIDIO!$V$23)*(0.06)/(1-0.06)</f>
        <v>106.32600000000001</v>
      </c>
      <c r="AC23" s="52">
        <f>((SUBSIDIO!$L$23*SUBSIDIO!$W$23)+(SUBSIDIO!$N$23*SUBSIDIO!$X$23))*(0.06)/(1-0.06)</f>
        <v>0</v>
      </c>
      <c r="AD23" s="52">
        <f ca="1">(SUBSIDIO!$J$23*SUBSIDIO!$Y$23)*(0.03)/(1-0.03)</f>
        <v>56.767982385968438</v>
      </c>
      <c r="AE23" s="52">
        <f>((SUBSIDIO!$L$23*SUBSIDIO!$Z$23)+(SUBSIDIO!$N$23*SUBSIDIO!$AA$23))*(0.03)/(1-0.03)</f>
        <v>0</v>
      </c>
      <c r="AF23" s="3" t="s">
        <v>549</v>
      </c>
    </row>
    <row r="24" spans="1:32" ht="11.25" customHeight="1" x14ac:dyDescent="0.25">
      <c r="A24" s="3" t="s">
        <v>21</v>
      </c>
      <c r="B24" s="3" t="s">
        <v>35</v>
      </c>
      <c r="C24" s="3" t="s">
        <v>36</v>
      </c>
      <c r="D24" s="3" t="s">
        <v>47</v>
      </c>
      <c r="E24" s="3" t="s">
        <v>48</v>
      </c>
      <c r="F24" s="3" t="s">
        <v>25</v>
      </c>
      <c r="G24" s="3" t="s">
        <v>25</v>
      </c>
      <c r="H24" s="3" t="s">
        <v>25</v>
      </c>
      <c r="I24" s="6">
        <v>44743</v>
      </c>
      <c r="J24" s="4">
        <v>55</v>
      </c>
      <c r="K24" s="53">
        <v>55</v>
      </c>
      <c r="L24" s="4">
        <v>0</v>
      </c>
      <c r="M24" s="52">
        <v>0</v>
      </c>
      <c r="N24" s="4">
        <v>0</v>
      </c>
      <c r="O24" s="52">
        <v>0</v>
      </c>
      <c r="P24" s="4">
        <v>1</v>
      </c>
      <c r="Q24" s="3" t="s">
        <v>26</v>
      </c>
      <c r="R24" s="3">
        <v>0</v>
      </c>
      <c r="S24" s="3">
        <v>7</v>
      </c>
      <c r="T24" s="3">
        <v>0</v>
      </c>
      <c r="U24" s="3">
        <v>0</v>
      </c>
      <c r="V24" s="52">
        <f>IF(ISERROR(VLOOKUP($S$24,'TAR FIN'!$A$1:$O$88,15,0)),0,VLOOKUP($S$24,'TAR FIN'!$A$1:$O$88,15,0))*(1-0.06)</f>
        <v>30.286799999999996</v>
      </c>
      <c r="W24" s="52">
        <f>IF(ISERROR(VLOOKUP($T$24,'TAR FIN'!$A$1:$O$88,15,0)),0,VLOOKUP($T$24,'TAR FIN'!$A$1:$O$88,15,0))</f>
        <v>0</v>
      </c>
      <c r="X24" s="52">
        <f>IF(ISERROR(VLOOKUP($U$24,'TAR FIN'!$A$1:$O$88,15,0)),0,VLOOKUP($U$24,'TAR FIN'!$A$1:$O$88,15,0))</f>
        <v>0</v>
      </c>
      <c r="Y24" s="52">
        <f ca="1">('TUSD BE'!$AM$10+'TUSD BF'!$AM$10+'TUSD CVA'!$AM$10)*1*(1-0.03)</f>
        <v>33.372692675387505</v>
      </c>
      <c r="Z24" s="52"/>
      <c r="AA24" s="52"/>
      <c r="AB24" s="52">
        <f>(SUBSIDIO!$J$24*SUBSIDIO!$V$24)*(0.06)/(1-0.06)</f>
        <v>106.32600000000001</v>
      </c>
      <c r="AC24" s="52">
        <f>((SUBSIDIO!$L$24*SUBSIDIO!$W$24)+(SUBSIDIO!$N$24*SUBSIDIO!$X$24))*(0.06)/(1-0.06)</f>
        <v>0</v>
      </c>
      <c r="AD24" s="52">
        <f ca="1">(SUBSIDIO!$J$24*SUBSIDIO!$Y$24)*(0.03)/(1-0.03)</f>
        <v>56.767982385968438</v>
      </c>
      <c r="AE24" s="52">
        <f>((SUBSIDIO!$L$24*SUBSIDIO!$Z$24)+(SUBSIDIO!$N$24*SUBSIDIO!$AA$24))*(0.03)/(1-0.03)</f>
        <v>0</v>
      </c>
      <c r="AF24" s="3" t="s">
        <v>549</v>
      </c>
    </row>
    <row r="25" spans="1:32" ht="11.25" customHeight="1" x14ac:dyDescent="0.25">
      <c r="A25" s="3" t="s">
        <v>21</v>
      </c>
      <c r="B25" s="3" t="s">
        <v>35</v>
      </c>
      <c r="C25" s="3" t="s">
        <v>36</v>
      </c>
      <c r="D25" s="3" t="s">
        <v>47</v>
      </c>
      <c r="E25" s="3" t="s">
        <v>48</v>
      </c>
      <c r="F25" s="3" t="s">
        <v>25</v>
      </c>
      <c r="G25" s="3" t="s">
        <v>25</v>
      </c>
      <c r="H25" s="3" t="s">
        <v>25</v>
      </c>
      <c r="I25" s="6">
        <v>44774</v>
      </c>
      <c r="J25" s="4">
        <v>55</v>
      </c>
      <c r="K25" s="53">
        <v>55</v>
      </c>
      <c r="L25" s="4">
        <v>0</v>
      </c>
      <c r="M25" s="52">
        <v>0</v>
      </c>
      <c r="N25" s="4">
        <v>0</v>
      </c>
      <c r="O25" s="52">
        <v>0</v>
      </c>
      <c r="P25" s="4">
        <v>1</v>
      </c>
      <c r="Q25" s="3" t="s">
        <v>26</v>
      </c>
      <c r="R25" s="3">
        <v>0</v>
      </c>
      <c r="S25" s="3">
        <v>7</v>
      </c>
      <c r="T25" s="3">
        <v>0</v>
      </c>
      <c r="U25" s="3">
        <v>0</v>
      </c>
      <c r="V25" s="52">
        <f>IF(ISERROR(VLOOKUP($S$25,'TAR FIN'!$A$1:$O$88,15,0)),0,VLOOKUP($S$25,'TAR FIN'!$A$1:$O$88,15,0))*(1-0.06)</f>
        <v>30.286799999999996</v>
      </c>
      <c r="W25" s="52">
        <f>IF(ISERROR(VLOOKUP($T$25,'TAR FIN'!$A$1:$O$88,15,0)),0,VLOOKUP($T$25,'TAR FIN'!$A$1:$O$88,15,0))</f>
        <v>0</v>
      </c>
      <c r="X25" s="52">
        <f>IF(ISERROR(VLOOKUP($U$25,'TAR FIN'!$A$1:$O$88,15,0)),0,VLOOKUP($U$25,'TAR FIN'!$A$1:$O$88,15,0))</f>
        <v>0</v>
      </c>
      <c r="Y25" s="52">
        <f ca="1">('TUSD BE'!$AM$10+'TUSD BF'!$AM$10+'TUSD CVA'!$AM$10)*1*(1-0.03)</f>
        <v>33.372692675387505</v>
      </c>
      <c r="Z25" s="52"/>
      <c r="AA25" s="52"/>
      <c r="AB25" s="52">
        <f>(SUBSIDIO!$J$25*SUBSIDIO!$V$25)*(0.06)/(1-0.06)</f>
        <v>106.32600000000001</v>
      </c>
      <c r="AC25" s="52">
        <f>((SUBSIDIO!$L$25*SUBSIDIO!$W$25)+(SUBSIDIO!$N$25*SUBSIDIO!$X$25))*(0.06)/(1-0.06)</f>
        <v>0</v>
      </c>
      <c r="AD25" s="52">
        <f ca="1">(SUBSIDIO!$J$25*SUBSIDIO!$Y$25)*(0.03)/(1-0.03)</f>
        <v>56.767982385968438</v>
      </c>
      <c r="AE25" s="52">
        <f>((SUBSIDIO!$L$25*SUBSIDIO!$Z$25)+(SUBSIDIO!$N$25*SUBSIDIO!$AA$25))*(0.03)/(1-0.03)</f>
        <v>0</v>
      </c>
      <c r="AF25" s="3" t="s">
        <v>549</v>
      </c>
    </row>
    <row r="26" spans="1:32" ht="11.25" customHeight="1" x14ac:dyDescent="0.25">
      <c r="A26" s="3" t="s">
        <v>21</v>
      </c>
      <c r="B26" s="3" t="s">
        <v>35</v>
      </c>
      <c r="C26" s="3" t="s">
        <v>36</v>
      </c>
      <c r="D26" s="3" t="s">
        <v>47</v>
      </c>
      <c r="E26" s="3" t="s">
        <v>48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0</v>
      </c>
      <c r="K26" s="52">
        <v>0</v>
      </c>
      <c r="L26" s="4">
        <v>0.94299999999999995</v>
      </c>
      <c r="M26" s="52">
        <v>0.94299999999999995</v>
      </c>
      <c r="N26" s="4">
        <v>0.94299999999999995</v>
      </c>
      <c r="O26" s="52">
        <v>0.94299999999999995</v>
      </c>
      <c r="P26" s="4">
        <v>0</v>
      </c>
      <c r="Q26" s="3" t="s">
        <v>26</v>
      </c>
      <c r="R26" s="3">
        <v>0</v>
      </c>
      <c r="S26" s="3">
        <v>0</v>
      </c>
      <c r="T26" s="3">
        <v>13</v>
      </c>
      <c r="U26" s="3">
        <v>42</v>
      </c>
      <c r="V26" s="52">
        <f>IF(ISERROR(VLOOKUP($S$26,'TAR FIN'!$A$1:$O$88,15,0)),0,VLOOKUP($S$26,'TAR FIN'!$A$1:$O$88,15,0))</f>
        <v>0</v>
      </c>
      <c r="W26" s="52">
        <f>IF(ISERROR(VLOOKUP($T$26,'TAR FIN'!$A$1:$O$88,15,0)),0,VLOOKUP($T$26,'TAR FIN'!$A$1:$O$88,15,0))*(1-0.06)</f>
        <v>2340.6469999999999</v>
      </c>
      <c r="X26" s="52">
        <f>IF(ISERROR(VLOOKUP($U$26,'TAR FIN'!$A$1:$O$88,15,0)),0,VLOOKUP($U$26,'TAR FIN'!$A$1:$O$88,15,0))*(1-0.06)</f>
        <v>155.29740000000001</v>
      </c>
      <c r="Y26" s="52"/>
      <c r="Z26" s="52">
        <f ca="1">('TUSD BE'!$AM$11+'TUSD BF'!$AM$11+'TUSD CVA'!$AM$11)*1*(1-0.03)</f>
        <v>2576.2752108420923</v>
      </c>
      <c r="AA26" s="52">
        <f>('TE BE'!$AB$5+'TE BF'!$AB$5+'TE CVA'!$AB$5)*1*(1-0.03)</f>
        <v>149.33869153269211</v>
      </c>
      <c r="AB26" s="52">
        <f>(SUBSIDIO!$J$26*SUBSIDIO!$V$26)*(0.06)/(1-0.06)</f>
        <v>0</v>
      </c>
      <c r="AC26" s="52">
        <f>((SUBSIDIO!$L$26*SUBSIDIO!$W$26)+(SUBSIDIO!$N$26*SUBSIDIO!$X$26))*(0.06)/(1-0.06)</f>
        <v>150.23461079999998</v>
      </c>
      <c r="AD26" s="52">
        <f>(SUBSIDIO!$J$26*SUBSIDIO!$Y$26)*(0.03)/(1-0.03)</f>
        <v>0</v>
      </c>
      <c r="AE26" s="52">
        <f ca="1">((SUBSIDIO!$L$26*SUBSIDIO!$Z$26)+(SUBSIDIO!$N$26*SUBSIDIO!$AA$26))*(0.03)/(1-0.03)</f>
        <v>79.492388967198607</v>
      </c>
      <c r="AF26" s="3" t="s">
        <v>549</v>
      </c>
    </row>
    <row r="27" spans="1:32" ht="11.25" customHeight="1" x14ac:dyDescent="0.25">
      <c r="A27" s="3" t="s">
        <v>21</v>
      </c>
      <c r="B27" s="3" t="s">
        <v>35</v>
      </c>
      <c r="C27" s="3" t="s">
        <v>36</v>
      </c>
      <c r="D27" s="3" t="s">
        <v>47</v>
      </c>
      <c r="E27" s="3" t="s">
        <v>48</v>
      </c>
      <c r="F27" s="3" t="s">
        <v>25</v>
      </c>
      <c r="G27" s="3" t="s">
        <v>25</v>
      </c>
      <c r="H27" s="3" t="s">
        <v>37</v>
      </c>
      <c r="I27" s="6">
        <v>44470</v>
      </c>
      <c r="J27" s="4">
        <v>0</v>
      </c>
      <c r="K27" s="52">
        <v>0</v>
      </c>
      <c r="L27" s="4">
        <v>1.0660000000000001</v>
      </c>
      <c r="M27" s="52">
        <v>1.0660000000000001</v>
      </c>
      <c r="N27" s="4">
        <v>1.0660000000000001</v>
      </c>
      <c r="O27" s="52">
        <v>1.0660000000000001</v>
      </c>
      <c r="P27" s="4">
        <v>0</v>
      </c>
      <c r="Q27" s="3" t="s">
        <v>26</v>
      </c>
      <c r="R27" s="3">
        <v>0</v>
      </c>
      <c r="S27" s="3">
        <v>0</v>
      </c>
      <c r="T27" s="3">
        <v>13</v>
      </c>
      <c r="U27" s="3">
        <v>42</v>
      </c>
      <c r="V27" s="52">
        <f>IF(ISERROR(VLOOKUP($S$27,'TAR FIN'!$A$1:$O$88,15,0)),0,VLOOKUP($S$27,'TAR FIN'!$A$1:$O$88,15,0))</f>
        <v>0</v>
      </c>
      <c r="W27" s="52">
        <f>IF(ISERROR(VLOOKUP($T$27,'TAR FIN'!$A$1:$O$88,15,0)),0,VLOOKUP($T$27,'TAR FIN'!$A$1:$O$88,15,0))*(1-0.06)</f>
        <v>2340.6469999999999</v>
      </c>
      <c r="X27" s="52">
        <f>IF(ISERROR(VLOOKUP($U$27,'TAR FIN'!$A$1:$O$88,15,0)),0,VLOOKUP($U$27,'TAR FIN'!$A$1:$O$88,15,0))*(1-0.06)</f>
        <v>155.29740000000001</v>
      </c>
      <c r="Y27" s="52"/>
      <c r="Z27" s="52">
        <f ca="1">('TUSD BE'!$AM$11+'TUSD BF'!$AM$11+'TUSD CVA'!$AM$11)*1*(1-0.03)</f>
        <v>2576.2752108420923</v>
      </c>
      <c r="AA27" s="52">
        <f>('TE BE'!$AB$5+'TE BF'!$AB$5+'TE CVA'!$AB$5)*1*(1-0.03)</f>
        <v>149.33869153269211</v>
      </c>
      <c r="AB27" s="52">
        <f>(SUBSIDIO!$J$27*SUBSIDIO!$V$27)*(0.06)/(1-0.06)</f>
        <v>0</v>
      </c>
      <c r="AC27" s="52">
        <f>((SUBSIDIO!$L$27*SUBSIDIO!$W$27)+(SUBSIDIO!$N$27*SUBSIDIO!$X$27))*(0.06)/(1-0.06)</f>
        <v>169.8304296</v>
      </c>
      <c r="AD27" s="52">
        <f>(SUBSIDIO!$J$27*SUBSIDIO!$Y$27)*(0.03)/(1-0.03)</f>
        <v>0</v>
      </c>
      <c r="AE27" s="52">
        <f ca="1">((SUBSIDIO!$L$27*SUBSIDIO!$Z$27)+(SUBSIDIO!$N$27*SUBSIDIO!$AA$27))*(0.03)/(1-0.03)</f>
        <v>89.860961441181033</v>
      </c>
      <c r="AF27" s="3" t="s">
        <v>549</v>
      </c>
    </row>
    <row r="28" spans="1:32" ht="11.25" customHeight="1" x14ac:dyDescent="0.25">
      <c r="A28" s="3" t="s">
        <v>21</v>
      </c>
      <c r="B28" s="3" t="s">
        <v>35</v>
      </c>
      <c r="C28" s="3" t="s">
        <v>36</v>
      </c>
      <c r="D28" s="3" t="s">
        <v>47</v>
      </c>
      <c r="E28" s="3" t="s">
        <v>48</v>
      </c>
      <c r="F28" s="3" t="s">
        <v>25</v>
      </c>
      <c r="G28" s="3" t="s">
        <v>25</v>
      </c>
      <c r="H28" s="3" t="s">
        <v>37</v>
      </c>
      <c r="I28" s="6">
        <v>44501</v>
      </c>
      <c r="J28" s="4">
        <v>0</v>
      </c>
      <c r="K28" s="52">
        <v>0</v>
      </c>
      <c r="L28" s="4">
        <v>1.1479999999999999</v>
      </c>
      <c r="M28" s="52">
        <v>1.1479999999999999</v>
      </c>
      <c r="N28" s="4">
        <v>1.1479999999999999</v>
      </c>
      <c r="O28" s="52">
        <v>1.1479999999999999</v>
      </c>
      <c r="P28" s="4">
        <v>0</v>
      </c>
      <c r="Q28" s="3" t="s">
        <v>26</v>
      </c>
      <c r="R28" s="3">
        <v>0</v>
      </c>
      <c r="S28" s="3">
        <v>0</v>
      </c>
      <c r="T28" s="3">
        <v>13</v>
      </c>
      <c r="U28" s="3">
        <v>42</v>
      </c>
      <c r="V28" s="52">
        <f>IF(ISERROR(VLOOKUP($S$28,'TAR FIN'!$A$1:$O$88,15,0)),0,VLOOKUP($S$28,'TAR FIN'!$A$1:$O$88,15,0))</f>
        <v>0</v>
      </c>
      <c r="W28" s="52">
        <f>IF(ISERROR(VLOOKUP($T$28,'TAR FIN'!$A$1:$O$88,15,0)),0,VLOOKUP($T$28,'TAR FIN'!$A$1:$O$88,15,0))*(1-0.06)</f>
        <v>2340.6469999999999</v>
      </c>
      <c r="X28" s="52">
        <f>IF(ISERROR(VLOOKUP($U$28,'TAR FIN'!$A$1:$O$88,15,0)),0,VLOOKUP($U$28,'TAR FIN'!$A$1:$O$88,15,0))*(1-0.06)</f>
        <v>155.29740000000001</v>
      </c>
      <c r="Y28" s="52"/>
      <c r="Z28" s="52">
        <f ca="1">('TUSD BE'!$AM$11+'TUSD BF'!$AM$11+'TUSD CVA'!$AM$11)*1*(1-0.03)</f>
        <v>2576.2752108420923</v>
      </c>
      <c r="AA28" s="52">
        <f>('TE BE'!$AB$5+'TE BF'!$AB$5+'TE CVA'!$AB$5)*1*(1-0.03)</f>
        <v>149.33869153269211</v>
      </c>
      <c r="AB28" s="52">
        <f>(SUBSIDIO!$J$28*SUBSIDIO!$V$28)*(0.06)/(1-0.06)</f>
        <v>0</v>
      </c>
      <c r="AC28" s="52">
        <f>((SUBSIDIO!$L$28*SUBSIDIO!$W$28)+(SUBSIDIO!$N$28*SUBSIDIO!$X$28))*(0.06)/(1-0.06)</f>
        <v>182.8943088</v>
      </c>
      <c r="AD28" s="52">
        <f>(SUBSIDIO!$J$28*SUBSIDIO!$Y$28)*(0.03)/(1-0.03)</f>
        <v>0</v>
      </c>
      <c r="AE28" s="52">
        <f ca="1">((SUBSIDIO!$L$28*SUBSIDIO!$Z$28)+(SUBSIDIO!$N$28*SUBSIDIO!$AA$28))*(0.03)/(1-0.03)</f>
        <v>96.773343090502649</v>
      </c>
      <c r="AF28" s="3" t="s">
        <v>549</v>
      </c>
    </row>
    <row r="29" spans="1:32" ht="11.25" customHeight="1" x14ac:dyDescent="0.25">
      <c r="A29" s="3" t="s">
        <v>21</v>
      </c>
      <c r="B29" s="3" t="s">
        <v>35</v>
      </c>
      <c r="C29" s="3" t="s">
        <v>36</v>
      </c>
      <c r="D29" s="3" t="s">
        <v>47</v>
      </c>
      <c r="E29" s="3" t="s">
        <v>48</v>
      </c>
      <c r="F29" s="3" t="s">
        <v>25</v>
      </c>
      <c r="G29" s="3" t="s">
        <v>25</v>
      </c>
      <c r="H29" s="3" t="s">
        <v>37</v>
      </c>
      <c r="I29" s="6">
        <v>44531</v>
      </c>
      <c r="J29" s="4">
        <v>0</v>
      </c>
      <c r="K29" s="52">
        <v>0</v>
      </c>
      <c r="L29" s="4">
        <v>1.107</v>
      </c>
      <c r="M29" s="52">
        <v>1.107</v>
      </c>
      <c r="N29" s="4">
        <v>1.107</v>
      </c>
      <c r="O29" s="52">
        <v>1.107</v>
      </c>
      <c r="P29" s="4">
        <v>0</v>
      </c>
      <c r="Q29" s="3" t="s">
        <v>26</v>
      </c>
      <c r="R29" s="3">
        <v>0</v>
      </c>
      <c r="S29" s="3">
        <v>0</v>
      </c>
      <c r="T29" s="3">
        <v>13</v>
      </c>
      <c r="U29" s="3">
        <v>42</v>
      </c>
      <c r="V29" s="52">
        <f>IF(ISERROR(VLOOKUP($S$29,'TAR FIN'!$A$1:$O$88,15,0)),0,VLOOKUP($S$29,'TAR FIN'!$A$1:$O$88,15,0))</f>
        <v>0</v>
      </c>
      <c r="W29" s="52">
        <f>IF(ISERROR(VLOOKUP($T$29,'TAR FIN'!$A$1:$O$88,15,0)),0,VLOOKUP($T$29,'TAR FIN'!$A$1:$O$88,15,0))*(1-0.06)</f>
        <v>2340.6469999999999</v>
      </c>
      <c r="X29" s="52">
        <f>IF(ISERROR(VLOOKUP($U$29,'TAR FIN'!$A$1:$O$88,15,0)),0,VLOOKUP($U$29,'TAR FIN'!$A$1:$O$88,15,0))*(1-0.06)</f>
        <v>155.29740000000001</v>
      </c>
      <c r="Y29" s="52"/>
      <c r="Z29" s="52">
        <f ca="1">('TUSD BE'!$AM$11+'TUSD BF'!$AM$11+'TUSD CVA'!$AM$11)*1*(1-0.03)</f>
        <v>2576.2752108420923</v>
      </c>
      <c r="AA29" s="52">
        <f>('TE BE'!$AB$5+'TE BF'!$AB$5+'TE CVA'!$AB$5)*1*(1-0.03)</f>
        <v>149.33869153269211</v>
      </c>
      <c r="AB29" s="52">
        <f>(SUBSIDIO!$J$29*SUBSIDIO!$V$29)*(0.06)/(1-0.06)</f>
        <v>0</v>
      </c>
      <c r="AC29" s="52">
        <f>((SUBSIDIO!$L$29*SUBSIDIO!$W$29)+(SUBSIDIO!$N$29*SUBSIDIO!$X$29))*(0.06)/(1-0.06)</f>
        <v>176.36236919999999</v>
      </c>
      <c r="AD29" s="52">
        <f>(SUBSIDIO!$J$29*SUBSIDIO!$Y$29)*(0.03)/(1-0.03)</f>
        <v>0</v>
      </c>
      <c r="AE29" s="52">
        <f ca="1">((SUBSIDIO!$L$29*SUBSIDIO!$Z$29)+(SUBSIDIO!$N$29*SUBSIDIO!$AA$29))*(0.03)/(1-0.03)</f>
        <v>93.317152265841827</v>
      </c>
      <c r="AF29" s="3" t="s">
        <v>549</v>
      </c>
    </row>
    <row r="30" spans="1:32" ht="11.25" customHeight="1" x14ac:dyDescent="0.25">
      <c r="A30" s="3" t="s">
        <v>21</v>
      </c>
      <c r="B30" s="3" t="s">
        <v>35</v>
      </c>
      <c r="C30" s="3" t="s">
        <v>36</v>
      </c>
      <c r="D30" s="3" t="s">
        <v>47</v>
      </c>
      <c r="E30" s="3" t="s">
        <v>48</v>
      </c>
      <c r="F30" s="3" t="s">
        <v>25</v>
      </c>
      <c r="G30" s="3" t="s">
        <v>25</v>
      </c>
      <c r="H30" s="3" t="s">
        <v>37</v>
      </c>
      <c r="I30" s="6">
        <v>44562</v>
      </c>
      <c r="J30" s="4">
        <v>0</v>
      </c>
      <c r="K30" s="52">
        <v>0</v>
      </c>
      <c r="L30" s="4">
        <v>1.107</v>
      </c>
      <c r="M30" s="52">
        <v>1.107</v>
      </c>
      <c r="N30" s="4">
        <v>1.107</v>
      </c>
      <c r="O30" s="52">
        <v>1.107</v>
      </c>
      <c r="P30" s="4">
        <v>0</v>
      </c>
      <c r="Q30" s="3" t="s">
        <v>26</v>
      </c>
      <c r="R30" s="3">
        <v>0</v>
      </c>
      <c r="S30" s="3">
        <v>0</v>
      </c>
      <c r="T30" s="3">
        <v>13</v>
      </c>
      <c r="U30" s="3">
        <v>42</v>
      </c>
      <c r="V30" s="52">
        <f>IF(ISERROR(VLOOKUP($S$30,'TAR FIN'!$A$1:$O$88,15,0)),0,VLOOKUP($S$30,'TAR FIN'!$A$1:$O$88,15,0))</f>
        <v>0</v>
      </c>
      <c r="W30" s="52">
        <f>IF(ISERROR(VLOOKUP($T$30,'TAR FIN'!$A$1:$O$88,15,0)),0,VLOOKUP($T$30,'TAR FIN'!$A$1:$O$88,15,0))*(1-0.06)</f>
        <v>2340.6469999999999</v>
      </c>
      <c r="X30" s="52">
        <f>IF(ISERROR(VLOOKUP($U$30,'TAR FIN'!$A$1:$O$88,15,0)),0,VLOOKUP($U$30,'TAR FIN'!$A$1:$O$88,15,0))*(1-0.06)</f>
        <v>155.29740000000001</v>
      </c>
      <c r="Y30" s="52"/>
      <c r="Z30" s="52">
        <f ca="1">('TUSD BE'!$AM$11+'TUSD BF'!$AM$11+'TUSD CVA'!$AM$11)*1*(1-0.03)</f>
        <v>2576.2752108420923</v>
      </c>
      <c r="AA30" s="52">
        <f>('TE BE'!$AB$5+'TE BF'!$AB$5+'TE CVA'!$AB$5)*1*(1-0.03)</f>
        <v>149.33869153269211</v>
      </c>
      <c r="AB30" s="52">
        <f>(SUBSIDIO!$J$30*SUBSIDIO!$V$30)*(0.06)/(1-0.06)</f>
        <v>0</v>
      </c>
      <c r="AC30" s="52">
        <f>((SUBSIDIO!$L$30*SUBSIDIO!$W$30)+(SUBSIDIO!$N$30*SUBSIDIO!$X$30))*(0.06)/(1-0.06)</f>
        <v>176.36236919999999</v>
      </c>
      <c r="AD30" s="52">
        <f>(SUBSIDIO!$J$30*SUBSIDIO!$Y$30)*(0.03)/(1-0.03)</f>
        <v>0</v>
      </c>
      <c r="AE30" s="52">
        <f ca="1">((SUBSIDIO!$L$30*SUBSIDIO!$Z$30)+(SUBSIDIO!$N$30*SUBSIDIO!$AA$30))*(0.03)/(1-0.03)</f>
        <v>93.317152265841827</v>
      </c>
      <c r="AF30" s="3" t="s">
        <v>549</v>
      </c>
    </row>
    <row r="31" spans="1:32" ht="11.25" customHeight="1" x14ac:dyDescent="0.25">
      <c r="A31" s="3" t="s">
        <v>21</v>
      </c>
      <c r="B31" s="3" t="s">
        <v>35</v>
      </c>
      <c r="C31" s="3" t="s">
        <v>36</v>
      </c>
      <c r="D31" s="3" t="s">
        <v>47</v>
      </c>
      <c r="E31" s="3" t="s">
        <v>48</v>
      </c>
      <c r="F31" s="3" t="s">
        <v>25</v>
      </c>
      <c r="G31" s="3" t="s">
        <v>25</v>
      </c>
      <c r="H31" s="3" t="s">
        <v>37</v>
      </c>
      <c r="I31" s="6">
        <v>44593</v>
      </c>
      <c r="J31" s="4">
        <v>0</v>
      </c>
      <c r="K31" s="52">
        <v>0</v>
      </c>
      <c r="L31" s="4">
        <v>1.0249999999999999</v>
      </c>
      <c r="M31" s="52">
        <v>1.0249999999999999</v>
      </c>
      <c r="N31" s="4">
        <v>1.0249999999999999</v>
      </c>
      <c r="O31" s="52">
        <v>1.0249999999999999</v>
      </c>
      <c r="P31" s="4">
        <v>0</v>
      </c>
      <c r="Q31" s="3" t="s">
        <v>26</v>
      </c>
      <c r="R31" s="3">
        <v>0</v>
      </c>
      <c r="S31" s="3">
        <v>0</v>
      </c>
      <c r="T31" s="3">
        <v>13</v>
      </c>
      <c r="U31" s="3">
        <v>42</v>
      </c>
      <c r="V31" s="52">
        <f>IF(ISERROR(VLOOKUP($S$31,'TAR FIN'!$A$1:$O$88,15,0)),0,VLOOKUP($S$31,'TAR FIN'!$A$1:$O$88,15,0))</f>
        <v>0</v>
      </c>
      <c r="W31" s="52">
        <f>IF(ISERROR(VLOOKUP($T$31,'TAR FIN'!$A$1:$O$88,15,0)),0,VLOOKUP($T$31,'TAR FIN'!$A$1:$O$88,15,0))*(1-0.06)</f>
        <v>2340.6469999999999</v>
      </c>
      <c r="X31" s="52">
        <f>IF(ISERROR(VLOOKUP($U$31,'TAR FIN'!$A$1:$O$88,15,0)),0,VLOOKUP($U$31,'TAR FIN'!$A$1:$O$88,15,0))*(1-0.06)</f>
        <v>155.29740000000001</v>
      </c>
      <c r="Y31" s="52"/>
      <c r="Z31" s="52">
        <f ca="1">('TUSD BE'!$AM$11+'TUSD BF'!$AM$11+'TUSD CVA'!$AM$11)*1*(1-0.03)</f>
        <v>2576.2752108420923</v>
      </c>
      <c r="AA31" s="52">
        <f>('TE BE'!$AB$5+'TE BF'!$AB$5+'TE CVA'!$AB$5)*1*(1-0.03)</f>
        <v>149.33869153269211</v>
      </c>
      <c r="AB31" s="52">
        <f>(SUBSIDIO!$J$31*SUBSIDIO!$V$31)*(0.06)/(1-0.06)</f>
        <v>0</v>
      </c>
      <c r="AC31" s="52">
        <f>((SUBSIDIO!$L$31*SUBSIDIO!$W$31)+(SUBSIDIO!$N$31*SUBSIDIO!$X$31))*(0.06)/(1-0.06)</f>
        <v>163.29848999999999</v>
      </c>
      <c r="AD31" s="52">
        <f>(SUBSIDIO!$J$31*SUBSIDIO!$Y$31)*(0.03)/(1-0.03)</f>
        <v>0</v>
      </c>
      <c r="AE31" s="52">
        <f ca="1">((SUBSIDIO!$L$31*SUBSIDIO!$Z$31)+(SUBSIDIO!$N$31*SUBSIDIO!$AA$31))*(0.03)/(1-0.03)</f>
        <v>86.404770616520224</v>
      </c>
      <c r="AF31" s="3" t="s">
        <v>549</v>
      </c>
    </row>
    <row r="32" spans="1:32" ht="11.25" customHeight="1" x14ac:dyDescent="0.25">
      <c r="A32" s="3" t="s">
        <v>21</v>
      </c>
      <c r="B32" s="3" t="s">
        <v>35</v>
      </c>
      <c r="C32" s="3" t="s">
        <v>36</v>
      </c>
      <c r="D32" s="3" t="s">
        <v>47</v>
      </c>
      <c r="E32" s="3" t="s">
        <v>48</v>
      </c>
      <c r="F32" s="3" t="s">
        <v>25</v>
      </c>
      <c r="G32" s="3" t="s">
        <v>25</v>
      </c>
      <c r="H32" s="3" t="s">
        <v>37</v>
      </c>
      <c r="I32" s="6">
        <v>44621</v>
      </c>
      <c r="J32" s="4">
        <v>0</v>
      </c>
      <c r="K32" s="52">
        <v>0</v>
      </c>
      <c r="L32" s="4">
        <v>1.107</v>
      </c>
      <c r="M32" s="52">
        <v>1.107</v>
      </c>
      <c r="N32" s="4">
        <v>1.107</v>
      </c>
      <c r="O32" s="52">
        <v>1.107</v>
      </c>
      <c r="P32" s="4">
        <v>0</v>
      </c>
      <c r="Q32" s="3" t="s">
        <v>26</v>
      </c>
      <c r="R32" s="3">
        <v>0</v>
      </c>
      <c r="S32" s="3">
        <v>0</v>
      </c>
      <c r="T32" s="3">
        <v>13</v>
      </c>
      <c r="U32" s="3">
        <v>42</v>
      </c>
      <c r="V32" s="52">
        <f>IF(ISERROR(VLOOKUP($S$32,'TAR FIN'!$A$1:$O$88,15,0)),0,VLOOKUP($S$32,'TAR FIN'!$A$1:$O$88,15,0))</f>
        <v>0</v>
      </c>
      <c r="W32" s="52">
        <f>IF(ISERROR(VLOOKUP($T$32,'TAR FIN'!$A$1:$O$88,15,0)),0,VLOOKUP($T$32,'TAR FIN'!$A$1:$O$88,15,0))*(1-0.06)</f>
        <v>2340.6469999999999</v>
      </c>
      <c r="X32" s="52">
        <f>IF(ISERROR(VLOOKUP($U$32,'TAR FIN'!$A$1:$O$88,15,0)),0,VLOOKUP($U$32,'TAR FIN'!$A$1:$O$88,15,0))*(1-0.06)</f>
        <v>155.29740000000001</v>
      </c>
      <c r="Y32" s="52"/>
      <c r="Z32" s="52">
        <f ca="1">('TUSD BE'!$AM$11+'TUSD BF'!$AM$11+'TUSD CVA'!$AM$11)*1*(1-0.03)</f>
        <v>2576.2752108420923</v>
      </c>
      <c r="AA32" s="52">
        <f>('TE BE'!$AB$5+'TE BF'!$AB$5+'TE CVA'!$AB$5)*1*(1-0.03)</f>
        <v>149.33869153269211</v>
      </c>
      <c r="AB32" s="52">
        <f>(SUBSIDIO!$J$32*SUBSIDIO!$V$32)*(0.06)/(1-0.06)</f>
        <v>0</v>
      </c>
      <c r="AC32" s="52">
        <f>((SUBSIDIO!$L$32*SUBSIDIO!$W$32)+(SUBSIDIO!$N$32*SUBSIDIO!$X$32))*(0.06)/(1-0.06)</f>
        <v>176.36236919999999</v>
      </c>
      <c r="AD32" s="52">
        <f>(SUBSIDIO!$J$32*SUBSIDIO!$Y$32)*(0.03)/(1-0.03)</f>
        <v>0</v>
      </c>
      <c r="AE32" s="52">
        <f ca="1">((SUBSIDIO!$L$32*SUBSIDIO!$Z$32)+(SUBSIDIO!$N$32*SUBSIDIO!$AA$32))*(0.03)/(1-0.03)</f>
        <v>93.317152265841827</v>
      </c>
      <c r="AF32" s="3" t="s">
        <v>549</v>
      </c>
    </row>
    <row r="33" spans="1:32" ht="11.25" customHeight="1" x14ac:dyDescent="0.25">
      <c r="A33" s="3" t="s">
        <v>21</v>
      </c>
      <c r="B33" s="3" t="s">
        <v>35</v>
      </c>
      <c r="C33" s="3" t="s">
        <v>36</v>
      </c>
      <c r="D33" s="3" t="s">
        <v>47</v>
      </c>
      <c r="E33" s="3" t="s">
        <v>48</v>
      </c>
      <c r="F33" s="3" t="s">
        <v>25</v>
      </c>
      <c r="G33" s="3" t="s">
        <v>25</v>
      </c>
      <c r="H33" s="3" t="s">
        <v>37</v>
      </c>
      <c r="I33" s="6">
        <v>44652</v>
      </c>
      <c r="J33" s="4">
        <v>0</v>
      </c>
      <c r="K33" s="52">
        <v>0</v>
      </c>
      <c r="L33" s="4">
        <v>0.94299999999999995</v>
      </c>
      <c r="M33" s="52">
        <v>0.94299999999999995</v>
      </c>
      <c r="N33" s="4">
        <v>0.94299999999999995</v>
      </c>
      <c r="O33" s="52">
        <v>0.94299999999999995</v>
      </c>
      <c r="P33" s="4">
        <v>0</v>
      </c>
      <c r="Q33" s="3" t="s">
        <v>26</v>
      </c>
      <c r="R33" s="3">
        <v>0</v>
      </c>
      <c r="S33" s="3">
        <v>0</v>
      </c>
      <c r="T33" s="3">
        <v>13</v>
      </c>
      <c r="U33" s="3">
        <v>42</v>
      </c>
      <c r="V33" s="52">
        <f>IF(ISERROR(VLOOKUP($S$33,'TAR FIN'!$A$1:$O$88,15,0)),0,VLOOKUP($S$33,'TAR FIN'!$A$1:$O$88,15,0))</f>
        <v>0</v>
      </c>
      <c r="W33" s="52">
        <f>IF(ISERROR(VLOOKUP($T$33,'TAR FIN'!$A$1:$O$88,15,0)),0,VLOOKUP($T$33,'TAR FIN'!$A$1:$O$88,15,0))*(1-0.06)</f>
        <v>2340.6469999999999</v>
      </c>
      <c r="X33" s="52">
        <f>IF(ISERROR(VLOOKUP($U$33,'TAR FIN'!$A$1:$O$88,15,0)),0,VLOOKUP($U$33,'TAR FIN'!$A$1:$O$88,15,0))*(1-0.06)</f>
        <v>155.29740000000001</v>
      </c>
      <c r="Y33" s="52"/>
      <c r="Z33" s="52">
        <f ca="1">('TUSD BE'!$AM$11+'TUSD BF'!$AM$11+'TUSD CVA'!$AM$11)*1*(1-0.03)</f>
        <v>2576.2752108420923</v>
      </c>
      <c r="AA33" s="52">
        <f>('TE BE'!$AB$5+'TE BF'!$AB$5+'TE CVA'!$AB$5)*1*(1-0.03)</f>
        <v>149.33869153269211</v>
      </c>
      <c r="AB33" s="52">
        <f>(SUBSIDIO!$J$33*SUBSIDIO!$V$33)*(0.06)/(1-0.06)</f>
        <v>0</v>
      </c>
      <c r="AC33" s="52">
        <f>((SUBSIDIO!$L$33*SUBSIDIO!$W$33)+(SUBSIDIO!$N$33*SUBSIDIO!$X$33))*(0.06)/(1-0.06)</f>
        <v>150.23461079999998</v>
      </c>
      <c r="AD33" s="52">
        <f>(SUBSIDIO!$J$33*SUBSIDIO!$Y$33)*(0.03)/(1-0.03)</f>
        <v>0</v>
      </c>
      <c r="AE33" s="52">
        <f ca="1">((SUBSIDIO!$L$33*SUBSIDIO!$Z$33)+(SUBSIDIO!$N$33*SUBSIDIO!$AA$33))*(0.03)/(1-0.03)</f>
        <v>79.492388967198607</v>
      </c>
      <c r="AF33" s="3" t="s">
        <v>549</v>
      </c>
    </row>
    <row r="34" spans="1:32" ht="11.25" customHeight="1" x14ac:dyDescent="0.25">
      <c r="A34" s="3" t="s">
        <v>21</v>
      </c>
      <c r="B34" s="3" t="s">
        <v>35</v>
      </c>
      <c r="C34" s="3" t="s">
        <v>36</v>
      </c>
      <c r="D34" s="3" t="s">
        <v>47</v>
      </c>
      <c r="E34" s="3" t="s">
        <v>48</v>
      </c>
      <c r="F34" s="3" t="s">
        <v>25</v>
      </c>
      <c r="G34" s="3" t="s">
        <v>25</v>
      </c>
      <c r="H34" s="3" t="s">
        <v>37</v>
      </c>
      <c r="I34" s="6">
        <v>44682</v>
      </c>
      <c r="J34" s="4">
        <v>0</v>
      </c>
      <c r="K34" s="52">
        <v>0</v>
      </c>
      <c r="L34" s="4">
        <v>0.90200000000000002</v>
      </c>
      <c r="M34" s="52">
        <v>0.90200000000000002</v>
      </c>
      <c r="N34" s="4">
        <v>0.90200000000000002</v>
      </c>
      <c r="O34" s="52">
        <v>0.90200000000000002</v>
      </c>
      <c r="P34" s="4">
        <v>0</v>
      </c>
      <c r="Q34" s="3" t="s">
        <v>26</v>
      </c>
      <c r="R34" s="3">
        <v>0</v>
      </c>
      <c r="S34" s="3">
        <v>0</v>
      </c>
      <c r="T34" s="3">
        <v>13</v>
      </c>
      <c r="U34" s="3">
        <v>42</v>
      </c>
      <c r="V34" s="52">
        <f>IF(ISERROR(VLOOKUP($S$34,'TAR FIN'!$A$1:$O$88,15,0)),0,VLOOKUP($S$34,'TAR FIN'!$A$1:$O$88,15,0))</f>
        <v>0</v>
      </c>
      <c r="W34" s="52">
        <f>IF(ISERROR(VLOOKUP($T$34,'TAR FIN'!$A$1:$O$88,15,0)),0,VLOOKUP($T$34,'TAR FIN'!$A$1:$O$88,15,0))*(1-0.06)</f>
        <v>2340.6469999999999</v>
      </c>
      <c r="X34" s="52">
        <f>IF(ISERROR(VLOOKUP($U$34,'TAR FIN'!$A$1:$O$88,15,0)),0,VLOOKUP($U$34,'TAR FIN'!$A$1:$O$88,15,0))*(1-0.06)</f>
        <v>155.29740000000001</v>
      </c>
      <c r="Y34" s="52"/>
      <c r="Z34" s="52">
        <f ca="1">('TUSD BE'!$AM$11+'TUSD BF'!$AM$11+'TUSD CVA'!$AM$11)*1*(1-0.03)</f>
        <v>2576.2752108420923</v>
      </c>
      <c r="AA34" s="52">
        <f>('TE BE'!$AB$5+'TE BF'!$AB$5+'TE CVA'!$AB$5)*1*(1-0.03)</f>
        <v>149.33869153269211</v>
      </c>
      <c r="AB34" s="52">
        <f>(SUBSIDIO!$J$34*SUBSIDIO!$V$34)*(0.06)/(1-0.06)</f>
        <v>0</v>
      </c>
      <c r="AC34" s="52">
        <f>((SUBSIDIO!$L$34*SUBSIDIO!$W$34)+(SUBSIDIO!$N$34*SUBSIDIO!$X$34))*(0.06)/(1-0.06)</f>
        <v>143.7026712</v>
      </c>
      <c r="AD34" s="52">
        <f>(SUBSIDIO!$J$34*SUBSIDIO!$Y$34)*(0.03)/(1-0.03)</f>
        <v>0</v>
      </c>
      <c r="AE34" s="52">
        <f ca="1">((SUBSIDIO!$L$34*SUBSIDIO!$Z$34)+(SUBSIDIO!$N$34*SUBSIDIO!$AA$34))*(0.03)/(1-0.03)</f>
        <v>76.036198142537813</v>
      </c>
      <c r="AF34" s="3" t="s">
        <v>549</v>
      </c>
    </row>
    <row r="35" spans="1:32" ht="11.25" customHeight="1" x14ac:dyDescent="0.25">
      <c r="A35" s="3" t="s">
        <v>21</v>
      </c>
      <c r="B35" s="3" t="s">
        <v>35</v>
      </c>
      <c r="C35" s="3" t="s">
        <v>36</v>
      </c>
      <c r="D35" s="3" t="s">
        <v>47</v>
      </c>
      <c r="E35" s="3" t="s">
        <v>48</v>
      </c>
      <c r="F35" s="3" t="s">
        <v>25</v>
      </c>
      <c r="G35" s="3" t="s">
        <v>25</v>
      </c>
      <c r="H35" s="3" t="s">
        <v>37</v>
      </c>
      <c r="I35" s="6">
        <v>44713</v>
      </c>
      <c r="J35" s="4">
        <v>0</v>
      </c>
      <c r="K35" s="52">
        <v>0</v>
      </c>
      <c r="L35" s="4">
        <v>0.90200000000000002</v>
      </c>
      <c r="M35" s="52">
        <v>0.90200000000000002</v>
      </c>
      <c r="N35" s="4">
        <v>0.90200000000000002</v>
      </c>
      <c r="O35" s="52">
        <v>0.90200000000000002</v>
      </c>
      <c r="P35" s="4">
        <v>0</v>
      </c>
      <c r="Q35" s="3" t="s">
        <v>26</v>
      </c>
      <c r="R35" s="3">
        <v>0</v>
      </c>
      <c r="S35" s="3">
        <v>0</v>
      </c>
      <c r="T35" s="3">
        <v>13</v>
      </c>
      <c r="U35" s="3">
        <v>42</v>
      </c>
      <c r="V35" s="52">
        <f>IF(ISERROR(VLOOKUP($S$35,'TAR FIN'!$A$1:$O$88,15,0)),0,VLOOKUP($S$35,'TAR FIN'!$A$1:$O$88,15,0))</f>
        <v>0</v>
      </c>
      <c r="W35" s="52">
        <f>IF(ISERROR(VLOOKUP($T$35,'TAR FIN'!$A$1:$O$88,15,0)),0,VLOOKUP($T$35,'TAR FIN'!$A$1:$O$88,15,0))*(1-0.06)</f>
        <v>2340.6469999999999</v>
      </c>
      <c r="X35" s="52">
        <f>IF(ISERROR(VLOOKUP($U$35,'TAR FIN'!$A$1:$O$88,15,0)),0,VLOOKUP($U$35,'TAR FIN'!$A$1:$O$88,15,0))*(1-0.06)</f>
        <v>155.29740000000001</v>
      </c>
      <c r="Y35" s="52"/>
      <c r="Z35" s="52">
        <f ca="1">('TUSD BE'!$AM$11+'TUSD BF'!$AM$11+'TUSD CVA'!$AM$11)*1*(1-0.03)</f>
        <v>2576.2752108420923</v>
      </c>
      <c r="AA35" s="52">
        <f>('TE BE'!$AB$5+'TE BF'!$AB$5+'TE CVA'!$AB$5)*1*(1-0.03)</f>
        <v>149.33869153269211</v>
      </c>
      <c r="AB35" s="52">
        <f>(SUBSIDIO!$J$35*SUBSIDIO!$V$35)*(0.06)/(1-0.06)</f>
        <v>0</v>
      </c>
      <c r="AC35" s="52">
        <f>((SUBSIDIO!$L$35*SUBSIDIO!$W$35)+(SUBSIDIO!$N$35*SUBSIDIO!$X$35))*(0.06)/(1-0.06)</f>
        <v>143.7026712</v>
      </c>
      <c r="AD35" s="52">
        <f>(SUBSIDIO!$J$35*SUBSIDIO!$Y$35)*(0.03)/(1-0.03)</f>
        <v>0</v>
      </c>
      <c r="AE35" s="52">
        <f ca="1">((SUBSIDIO!$L$35*SUBSIDIO!$Z$35)+(SUBSIDIO!$N$35*SUBSIDIO!$AA$35))*(0.03)/(1-0.03)</f>
        <v>76.036198142537813</v>
      </c>
      <c r="AF35" s="3" t="s">
        <v>549</v>
      </c>
    </row>
    <row r="36" spans="1:32" ht="11.25" customHeight="1" x14ac:dyDescent="0.25">
      <c r="A36" s="3" t="s">
        <v>21</v>
      </c>
      <c r="B36" s="3" t="s">
        <v>35</v>
      </c>
      <c r="C36" s="3" t="s">
        <v>36</v>
      </c>
      <c r="D36" s="3" t="s">
        <v>47</v>
      </c>
      <c r="E36" s="3" t="s">
        <v>48</v>
      </c>
      <c r="F36" s="3" t="s">
        <v>25</v>
      </c>
      <c r="G36" s="3" t="s">
        <v>25</v>
      </c>
      <c r="H36" s="3" t="s">
        <v>37</v>
      </c>
      <c r="I36" s="6">
        <v>44743</v>
      </c>
      <c r="J36" s="4">
        <v>0</v>
      </c>
      <c r="K36" s="52">
        <v>0</v>
      </c>
      <c r="L36" s="4">
        <v>1.0660000000000001</v>
      </c>
      <c r="M36" s="52">
        <v>1.0660000000000001</v>
      </c>
      <c r="N36" s="4">
        <v>1.0660000000000001</v>
      </c>
      <c r="O36" s="52">
        <v>1.0660000000000001</v>
      </c>
      <c r="P36" s="4">
        <v>0</v>
      </c>
      <c r="Q36" s="3" t="s">
        <v>26</v>
      </c>
      <c r="R36" s="3">
        <v>0</v>
      </c>
      <c r="S36" s="3">
        <v>0</v>
      </c>
      <c r="T36" s="3">
        <v>13</v>
      </c>
      <c r="U36" s="3">
        <v>42</v>
      </c>
      <c r="V36" s="52">
        <f>IF(ISERROR(VLOOKUP($S$36,'TAR FIN'!$A$1:$O$88,15,0)),0,VLOOKUP($S$36,'TAR FIN'!$A$1:$O$88,15,0))</f>
        <v>0</v>
      </c>
      <c r="W36" s="52">
        <f>IF(ISERROR(VLOOKUP($T$36,'TAR FIN'!$A$1:$O$88,15,0)),0,VLOOKUP($T$36,'TAR FIN'!$A$1:$O$88,15,0))*(1-0.06)</f>
        <v>2340.6469999999999</v>
      </c>
      <c r="X36" s="52">
        <f>IF(ISERROR(VLOOKUP($U$36,'TAR FIN'!$A$1:$O$88,15,0)),0,VLOOKUP($U$36,'TAR FIN'!$A$1:$O$88,15,0))*(1-0.06)</f>
        <v>155.29740000000001</v>
      </c>
      <c r="Y36" s="52"/>
      <c r="Z36" s="52">
        <f ca="1">('TUSD BE'!$AM$11+'TUSD BF'!$AM$11+'TUSD CVA'!$AM$11)*1*(1-0.03)</f>
        <v>2576.2752108420923</v>
      </c>
      <c r="AA36" s="52">
        <f>('TE BE'!$AB$5+'TE BF'!$AB$5+'TE CVA'!$AB$5)*1*(1-0.03)</f>
        <v>149.33869153269211</v>
      </c>
      <c r="AB36" s="52">
        <f>(SUBSIDIO!$J$36*SUBSIDIO!$V$36)*(0.06)/(1-0.06)</f>
        <v>0</v>
      </c>
      <c r="AC36" s="52">
        <f>((SUBSIDIO!$L$36*SUBSIDIO!$W$36)+(SUBSIDIO!$N$36*SUBSIDIO!$X$36))*(0.06)/(1-0.06)</f>
        <v>169.8304296</v>
      </c>
      <c r="AD36" s="52">
        <f>(SUBSIDIO!$J$36*SUBSIDIO!$Y$36)*(0.03)/(1-0.03)</f>
        <v>0</v>
      </c>
      <c r="AE36" s="52">
        <f ca="1">((SUBSIDIO!$L$36*SUBSIDIO!$Z$36)+(SUBSIDIO!$N$36*SUBSIDIO!$AA$36))*(0.03)/(1-0.03)</f>
        <v>89.860961441181033</v>
      </c>
      <c r="AF36" s="3" t="s">
        <v>549</v>
      </c>
    </row>
    <row r="37" spans="1:32" ht="11.25" customHeight="1" x14ac:dyDescent="0.25">
      <c r="A37" s="3" t="s">
        <v>21</v>
      </c>
      <c r="B37" s="3" t="s">
        <v>35</v>
      </c>
      <c r="C37" s="3" t="s">
        <v>36</v>
      </c>
      <c r="D37" s="3" t="s">
        <v>47</v>
      </c>
      <c r="E37" s="3" t="s">
        <v>48</v>
      </c>
      <c r="F37" s="3" t="s">
        <v>25</v>
      </c>
      <c r="G37" s="3" t="s">
        <v>25</v>
      </c>
      <c r="H37" s="3" t="s">
        <v>37</v>
      </c>
      <c r="I37" s="6">
        <v>44774</v>
      </c>
      <c r="J37" s="4">
        <v>0</v>
      </c>
      <c r="K37" s="52">
        <v>0</v>
      </c>
      <c r="L37" s="4">
        <v>0.94299999999999995</v>
      </c>
      <c r="M37" s="52">
        <v>0.94299999999999995</v>
      </c>
      <c r="N37" s="4">
        <v>0.94299999999999995</v>
      </c>
      <c r="O37" s="52">
        <v>0.94299999999999995</v>
      </c>
      <c r="P37" s="4">
        <v>0</v>
      </c>
      <c r="Q37" s="3" t="s">
        <v>26</v>
      </c>
      <c r="R37" s="3">
        <v>0</v>
      </c>
      <c r="S37" s="3">
        <v>0</v>
      </c>
      <c r="T37" s="3">
        <v>13</v>
      </c>
      <c r="U37" s="3">
        <v>42</v>
      </c>
      <c r="V37" s="52">
        <f>IF(ISERROR(VLOOKUP($S$37,'TAR FIN'!$A$1:$O$88,15,0)),0,VLOOKUP($S$37,'TAR FIN'!$A$1:$O$88,15,0))</f>
        <v>0</v>
      </c>
      <c r="W37" s="52">
        <f>IF(ISERROR(VLOOKUP($T$37,'TAR FIN'!$A$1:$O$88,15,0)),0,VLOOKUP($T$37,'TAR FIN'!$A$1:$O$88,15,0))*(1-0.06)</f>
        <v>2340.6469999999999</v>
      </c>
      <c r="X37" s="52">
        <f>IF(ISERROR(VLOOKUP($U$37,'TAR FIN'!$A$1:$O$88,15,0)),0,VLOOKUP($U$37,'TAR FIN'!$A$1:$O$88,15,0))*(1-0.06)</f>
        <v>155.29740000000001</v>
      </c>
      <c r="Y37" s="52"/>
      <c r="Z37" s="52">
        <f ca="1">('TUSD BE'!$AM$11+'TUSD BF'!$AM$11+'TUSD CVA'!$AM$11)*1*(1-0.03)</f>
        <v>2576.2752108420923</v>
      </c>
      <c r="AA37" s="52">
        <f>('TE BE'!$AB$5+'TE BF'!$AB$5+'TE CVA'!$AB$5)*1*(1-0.03)</f>
        <v>149.33869153269211</v>
      </c>
      <c r="AB37" s="52">
        <f>(SUBSIDIO!$J$37*SUBSIDIO!$V$37)*(0.06)/(1-0.06)</f>
        <v>0</v>
      </c>
      <c r="AC37" s="52">
        <f>((SUBSIDIO!$L$37*SUBSIDIO!$W$37)+(SUBSIDIO!$N$37*SUBSIDIO!$X$37))*(0.06)/(1-0.06)</f>
        <v>150.23461079999998</v>
      </c>
      <c r="AD37" s="52">
        <f>(SUBSIDIO!$J$37*SUBSIDIO!$Y$37)*(0.03)/(1-0.03)</f>
        <v>0</v>
      </c>
      <c r="AE37" s="52">
        <f ca="1">((SUBSIDIO!$L$37*SUBSIDIO!$Z$37)+(SUBSIDIO!$N$37*SUBSIDIO!$AA$37))*(0.03)/(1-0.03)</f>
        <v>79.492388967198607</v>
      </c>
      <c r="AF37" s="3" t="s">
        <v>549</v>
      </c>
    </row>
    <row r="38" spans="1:32" ht="11.25" customHeight="1" x14ac:dyDescent="0.25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24</v>
      </c>
      <c r="F38" s="3" t="s">
        <v>25</v>
      </c>
      <c r="G38" s="3" t="s">
        <v>25</v>
      </c>
      <c r="H38" s="3" t="s">
        <v>25</v>
      </c>
      <c r="I38" s="6">
        <v>44440</v>
      </c>
      <c r="J38" s="4">
        <v>0</v>
      </c>
      <c r="K38" s="4">
        <v>0</v>
      </c>
      <c r="L38" s="4">
        <v>821.30100000000004</v>
      </c>
      <c r="M38" s="4">
        <v>821.30100000000004</v>
      </c>
      <c r="N38" s="4">
        <v>821.30100000000004</v>
      </c>
      <c r="O38" s="4">
        <v>821.30100000000004</v>
      </c>
      <c r="P38" s="4">
        <v>4410</v>
      </c>
      <c r="Q38" s="3" t="s">
        <v>26</v>
      </c>
      <c r="R38" s="3">
        <v>0</v>
      </c>
      <c r="S38" s="3">
        <v>0</v>
      </c>
      <c r="T38" s="3">
        <v>20</v>
      </c>
      <c r="U38" s="3">
        <v>51</v>
      </c>
      <c r="V38" s="4">
        <f>IF(ISERROR(VLOOKUP($S$38,'TAR FIN'!$A$1:$O$88,15,0)),0,VLOOKUP($S$38,'TAR FIN'!$A$1:$O$88,15,0))</f>
        <v>0</v>
      </c>
      <c r="W38" s="4">
        <f>IF(ISERROR(VLOOKUP($T$38,'TAR FIN'!$A$1:$O$88,15,0)),0,VLOOKUP($T$38,'TAR FIN'!$A$1:$O$88,15,0))</f>
        <v>476.06</v>
      </c>
      <c r="X38" s="4">
        <f>IF(ISERROR(VLOOKUP($U$38,'TAR FIN'!$A$1:$O$88,15,0)),0,VLOOKUP($U$38,'TAR FIN'!$A$1:$O$88,15,0))</f>
        <v>165.21</v>
      </c>
      <c r="Y38" s="4"/>
      <c r="Z38" s="4">
        <f ca="1">('TUSD BE'!$AM$20+'TUSD BF'!$AM$20+'TUSD CVA'!$AM$20)*1</f>
        <v>529.7136948578077</v>
      </c>
      <c r="AA38" s="4">
        <f>('TE BE'!$AB$10+'TE BF'!$AB$10+'TE CVA'!$AB$10)*1</f>
        <v>153.95741395122897</v>
      </c>
      <c r="AB38" s="4">
        <f t="shared" ref="AB38:AB65" si="2">(J38-K38)*V38</f>
        <v>0</v>
      </c>
      <c r="AC38" s="4">
        <f t="shared" ref="AC38" si="3">(L38-M38)*W38+(N38-O38)*X38</f>
        <v>0</v>
      </c>
      <c r="AD38" s="4">
        <f t="shared" ref="AD38:AD65" si="4">(J38-K38)*Y38</f>
        <v>0</v>
      </c>
      <c r="AE38" s="4">
        <f t="shared" ref="AE38" ca="1" si="5">(L38-M38)*Z38+(N38-O38)*AA38</f>
        <v>0</v>
      </c>
    </row>
    <row r="39" spans="1:32" ht="11.25" customHeight="1" x14ac:dyDescent="0.25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29</v>
      </c>
      <c r="F39" s="3" t="s">
        <v>25</v>
      </c>
      <c r="G39" s="3" t="s">
        <v>25</v>
      </c>
      <c r="H39" s="3" t="s">
        <v>25</v>
      </c>
      <c r="I39" s="6">
        <v>44440</v>
      </c>
      <c r="J39" s="4">
        <v>0</v>
      </c>
      <c r="K39" s="4">
        <v>0</v>
      </c>
      <c r="L39" s="4">
        <v>5.91</v>
      </c>
      <c r="M39" s="4">
        <v>5.91</v>
      </c>
      <c r="N39" s="4">
        <v>5.91</v>
      </c>
      <c r="O39" s="4">
        <v>5.91</v>
      </c>
      <c r="P39" s="4">
        <v>11</v>
      </c>
      <c r="Q39" s="3" t="s">
        <v>26</v>
      </c>
      <c r="R39" s="3">
        <v>0</v>
      </c>
      <c r="S39" s="3">
        <v>0</v>
      </c>
      <c r="T39" s="3">
        <v>8</v>
      </c>
      <c r="U39" s="3">
        <v>47</v>
      </c>
      <c r="V39" s="4">
        <f>IF(ISERROR(VLOOKUP($S$39,'TAR FIN'!$A$1:$O$88,15,0)),0,VLOOKUP($S$39,'TAR FIN'!$A$1:$O$88,15,0))</f>
        <v>0</v>
      </c>
      <c r="W39" s="4">
        <f>IF(ISERROR(VLOOKUP($T$39,'TAR FIN'!$A$1:$O$88,15,0)),0,VLOOKUP($T$39,'TAR FIN'!$A$1:$O$88,15,0))</f>
        <v>142.83000000000001</v>
      </c>
      <c r="X39" s="4">
        <f>IF(ISERROR(VLOOKUP($U$39,'TAR FIN'!$A$1:$O$88,15,0)),0,VLOOKUP($U$39,'TAR FIN'!$A$1:$O$88,15,0))</f>
        <v>57.82</v>
      </c>
      <c r="Y39" s="4"/>
      <c r="Z39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39" s="4">
        <f>('TE BE'!$AB$11+'TE BF'!$AB$11+'TE CVA'!$AB$11)*(1-CUSTOS!$M$34)</f>
        <v>53.88509488293014</v>
      </c>
      <c r="AB39" s="4">
        <f t="shared" si="2"/>
        <v>0</v>
      </c>
      <c r="AC39" s="4">
        <f>(L39-M39)*(W39+X39)+($W$75+$X$75-$W$39-$X$39)*(L39)</f>
        <v>2202.3023999999996</v>
      </c>
      <c r="AD39" s="4">
        <f t="shared" si="4"/>
        <v>0</v>
      </c>
      <c r="AE39" s="4">
        <f ca="1">(L39-M39)*(Z39+AA39)+($Z$75+$AA$75-$Z$39-$AA$39)*(L39)</f>
        <v>2217.2925058333176</v>
      </c>
      <c r="AF39" s="3" t="s">
        <v>550</v>
      </c>
    </row>
    <row r="40" spans="1:32" ht="11.25" customHeight="1" x14ac:dyDescent="0.25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29</v>
      </c>
      <c r="F40" s="3" t="s">
        <v>25</v>
      </c>
      <c r="G40" s="3" t="s">
        <v>25</v>
      </c>
      <c r="H40" s="3" t="s">
        <v>25</v>
      </c>
      <c r="I40" s="6">
        <v>44470</v>
      </c>
      <c r="J40" s="4">
        <v>0</v>
      </c>
      <c r="K40" s="4">
        <v>0</v>
      </c>
      <c r="L40" s="4">
        <v>5.97</v>
      </c>
      <c r="M40" s="4">
        <v>5.97</v>
      </c>
      <c r="N40" s="4">
        <v>5.97</v>
      </c>
      <c r="O40" s="4">
        <v>5.97</v>
      </c>
      <c r="P40" s="4">
        <v>14</v>
      </c>
      <c r="Q40" s="3" t="s">
        <v>26</v>
      </c>
      <c r="R40" s="3">
        <v>0</v>
      </c>
      <c r="S40" s="3">
        <v>0</v>
      </c>
      <c r="T40" s="3">
        <v>8</v>
      </c>
      <c r="U40" s="3">
        <v>47</v>
      </c>
      <c r="V40" s="4">
        <f>IF(ISERROR(VLOOKUP($S$40,'TAR FIN'!$A$1:$O$88,15,0)),0,VLOOKUP($S$40,'TAR FIN'!$A$1:$O$88,15,0))</f>
        <v>0</v>
      </c>
      <c r="W40" s="4">
        <f>IF(ISERROR(VLOOKUP($T$40,'TAR FIN'!$A$1:$O$88,15,0)),0,VLOOKUP($T$40,'TAR FIN'!$A$1:$O$88,15,0))</f>
        <v>142.83000000000001</v>
      </c>
      <c r="X40" s="4">
        <f>IF(ISERROR(VLOOKUP($U$40,'TAR FIN'!$A$1:$O$88,15,0)),0,VLOOKUP($U$40,'TAR FIN'!$A$1:$O$88,15,0))</f>
        <v>57.82</v>
      </c>
      <c r="Y40" s="4"/>
      <c r="Z40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0" s="4">
        <f>('TE BE'!$AB$11+'TE BF'!$AB$11+'TE CVA'!$AB$11)*(1-CUSTOS!$M$34)</f>
        <v>53.88509488293014</v>
      </c>
      <c r="AB40" s="4">
        <f t="shared" si="2"/>
        <v>0</v>
      </c>
      <c r="AC40" s="4">
        <f>(L40-M40)*(W40+X40)+($W$75+$X$75-$W$40-$X$40)*(L40)</f>
        <v>2224.6607999999997</v>
      </c>
      <c r="AD40" s="4">
        <f t="shared" si="4"/>
        <v>0</v>
      </c>
      <c r="AE40" s="4">
        <f ca="1">(L40-M40)*(Z40+AA40)+($Z$75+$AA$75-$Z$40-$AA$40)*(L40)</f>
        <v>2239.803089648884</v>
      </c>
      <c r="AF40" s="3" t="s">
        <v>550</v>
      </c>
    </row>
    <row r="41" spans="1:32" ht="11.25" customHeight="1" x14ac:dyDescent="0.2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29</v>
      </c>
      <c r="F41" s="3" t="s">
        <v>25</v>
      </c>
      <c r="G41" s="3" t="s">
        <v>25</v>
      </c>
      <c r="H41" s="3" t="s">
        <v>25</v>
      </c>
      <c r="I41" s="6">
        <v>44501</v>
      </c>
      <c r="J41" s="4">
        <v>0</v>
      </c>
      <c r="K41" s="4">
        <v>0</v>
      </c>
      <c r="L41" s="4">
        <v>5.97</v>
      </c>
      <c r="M41" s="4">
        <v>5.97</v>
      </c>
      <c r="N41" s="4">
        <v>5.97</v>
      </c>
      <c r="O41" s="4">
        <v>5.97</v>
      </c>
      <c r="P41" s="4">
        <v>11</v>
      </c>
      <c r="Q41" s="3" t="s">
        <v>26</v>
      </c>
      <c r="R41" s="3">
        <v>0</v>
      </c>
      <c r="S41" s="3">
        <v>0</v>
      </c>
      <c r="T41" s="3">
        <v>8</v>
      </c>
      <c r="U41" s="3">
        <v>47</v>
      </c>
      <c r="V41" s="4">
        <f>IF(ISERROR(VLOOKUP($S$41,'TAR FIN'!$A$1:$O$88,15,0)),0,VLOOKUP($S$41,'TAR FIN'!$A$1:$O$88,15,0))</f>
        <v>0</v>
      </c>
      <c r="W41" s="4">
        <f>IF(ISERROR(VLOOKUP($T$41,'TAR FIN'!$A$1:$O$88,15,0)),0,VLOOKUP($T$41,'TAR FIN'!$A$1:$O$88,15,0))</f>
        <v>142.83000000000001</v>
      </c>
      <c r="X41" s="4">
        <f>IF(ISERROR(VLOOKUP($U$41,'TAR FIN'!$A$1:$O$88,15,0)),0,VLOOKUP($U$41,'TAR FIN'!$A$1:$O$88,15,0))</f>
        <v>57.82</v>
      </c>
      <c r="Y41" s="4"/>
      <c r="Z41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1" s="4">
        <f>('TE BE'!$AB$11+'TE BF'!$AB$11+'TE CVA'!$AB$11)*(1-CUSTOS!$M$34)</f>
        <v>53.88509488293014</v>
      </c>
      <c r="AB41" s="4">
        <f t="shared" si="2"/>
        <v>0</v>
      </c>
      <c r="AC41" s="4">
        <f>(L41-M41)*(W41+X41)+($W$75+$X$75-$W$41-$X$41)*(L41)</f>
        <v>2224.6607999999997</v>
      </c>
      <c r="AD41" s="4">
        <f t="shared" si="4"/>
        <v>0</v>
      </c>
      <c r="AE41" s="4">
        <f ca="1">(L41-M41)*(Z41+AA41)+($Z$75+$AA$75-$Z$41-$AA$41)*(L41)</f>
        <v>2239.803089648884</v>
      </c>
      <c r="AF41" s="3" t="s">
        <v>550</v>
      </c>
    </row>
    <row r="42" spans="1:32" ht="11.25" customHeight="1" x14ac:dyDescent="0.25">
      <c r="A42" s="3" t="s">
        <v>21</v>
      </c>
      <c r="B42" s="3" t="s">
        <v>22</v>
      </c>
      <c r="C42" s="3" t="s">
        <v>23</v>
      </c>
      <c r="D42" s="3" t="s">
        <v>24</v>
      </c>
      <c r="E42" s="3" t="s">
        <v>29</v>
      </c>
      <c r="F42" s="3" t="s">
        <v>25</v>
      </c>
      <c r="G42" s="3" t="s">
        <v>25</v>
      </c>
      <c r="H42" s="3" t="s">
        <v>25</v>
      </c>
      <c r="I42" s="6">
        <v>44531</v>
      </c>
      <c r="J42" s="4">
        <v>0</v>
      </c>
      <c r="K42" s="4">
        <v>0</v>
      </c>
      <c r="L42" s="4">
        <v>6.3</v>
      </c>
      <c r="M42" s="4">
        <v>6.3</v>
      </c>
      <c r="N42" s="4">
        <v>6.3</v>
      </c>
      <c r="O42" s="4">
        <v>6.3</v>
      </c>
      <c r="P42" s="4">
        <v>8</v>
      </c>
      <c r="Q42" s="3" t="s">
        <v>26</v>
      </c>
      <c r="R42" s="3">
        <v>0</v>
      </c>
      <c r="S42" s="3">
        <v>0</v>
      </c>
      <c r="T42" s="3">
        <v>8</v>
      </c>
      <c r="U42" s="3">
        <v>47</v>
      </c>
      <c r="V42" s="4">
        <f>IF(ISERROR(VLOOKUP($S$42,'TAR FIN'!$A$1:$O$88,15,0)),0,VLOOKUP($S$42,'TAR FIN'!$A$1:$O$88,15,0))</f>
        <v>0</v>
      </c>
      <c r="W42" s="4">
        <f>IF(ISERROR(VLOOKUP($T$42,'TAR FIN'!$A$1:$O$88,15,0)),0,VLOOKUP($T$42,'TAR FIN'!$A$1:$O$88,15,0))</f>
        <v>142.83000000000001</v>
      </c>
      <c r="X42" s="4">
        <f>IF(ISERROR(VLOOKUP($U$42,'TAR FIN'!$A$1:$O$88,15,0)),0,VLOOKUP($U$42,'TAR FIN'!$A$1:$O$88,15,0))</f>
        <v>57.82</v>
      </c>
      <c r="Y42" s="4"/>
      <c r="Z42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2" s="4">
        <f>('TE BE'!$AB$11+'TE BF'!$AB$11+'TE CVA'!$AB$11)*(1-CUSTOS!$M$34)</f>
        <v>53.88509488293014</v>
      </c>
      <c r="AB42" s="4">
        <f t="shared" si="2"/>
        <v>0</v>
      </c>
      <c r="AC42" s="4">
        <f>(L42-M42)*(W42+X42)+($W$75+$X$75-$W$42-$X$42)*(L42)</f>
        <v>2347.6319999999996</v>
      </c>
      <c r="AD42" s="4">
        <f t="shared" si="4"/>
        <v>0</v>
      </c>
      <c r="AE42" s="4">
        <f ca="1">(L42-M42)*(Z42+AA42)+($Z$75+$AA$75-$Z$42-$AA$42)*(L42)</f>
        <v>2363.6113006345008</v>
      </c>
      <c r="AF42" s="3" t="s">
        <v>550</v>
      </c>
    </row>
    <row r="43" spans="1:32" ht="11.25" customHeight="1" x14ac:dyDescent="0.25">
      <c r="A43" s="3" t="s">
        <v>21</v>
      </c>
      <c r="B43" s="3" t="s">
        <v>22</v>
      </c>
      <c r="C43" s="3" t="s">
        <v>23</v>
      </c>
      <c r="D43" s="3" t="s">
        <v>24</v>
      </c>
      <c r="E43" s="3" t="s">
        <v>29</v>
      </c>
      <c r="F43" s="3" t="s">
        <v>25</v>
      </c>
      <c r="G43" s="3" t="s">
        <v>25</v>
      </c>
      <c r="H43" s="3" t="s">
        <v>25</v>
      </c>
      <c r="I43" s="6">
        <v>44562</v>
      </c>
      <c r="J43" s="4">
        <v>0</v>
      </c>
      <c r="K43" s="4">
        <v>0</v>
      </c>
      <c r="L43" s="4">
        <v>6.39</v>
      </c>
      <c r="M43" s="4">
        <v>6.39</v>
      </c>
      <c r="N43" s="4">
        <v>6.39</v>
      </c>
      <c r="O43" s="4">
        <v>6.39</v>
      </c>
      <c r="P43" s="4">
        <v>6</v>
      </c>
      <c r="Q43" s="3" t="s">
        <v>26</v>
      </c>
      <c r="R43" s="3">
        <v>0</v>
      </c>
      <c r="S43" s="3">
        <v>0</v>
      </c>
      <c r="T43" s="3">
        <v>8</v>
      </c>
      <c r="U43" s="3">
        <v>47</v>
      </c>
      <c r="V43" s="4">
        <f>IF(ISERROR(VLOOKUP($S$43,'TAR FIN'!$A$1:$O$88,15,0)),0,VLOOKUP($S$43,'TAR FIN'!$A$1:$O$88,15,0))</f>
        <v>0</v>
      </c>
      <c r="W43" s="4">
        <f>IF(ISERROR(VLOOKUP($T$43,'TAR FIN'!$A$1:$O$88,15,0)),0,VLOOKUP($T$43,'TAR FIN'!$A$1:$O$88,15,0))</f>
        <v>142.83000000000001</v>
      </c>
      <c r="X43" s="4">
        <f>IF(ISERROR(VLOOKUP($U$43,'TAR FIN'!$A$1:$O$88,15,0)),0,VLOOKUP($U$43,'TAR FIN'!$A$1:$O$88,15,0))</f>
        <v>57.82</v>
      </c>
      <c r="Y43" s="4"/>
      <c r="Z43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3" s="4">
        <f>('TE BE'!$AB$11+'TE BF'!$AB$11+'TE CVA'!$AB$11)*(1-CUSTOS!$M$34)</f>
        <v>53.88509488293014</v>
      </c>
      <c r="AB43" s="4">
        <f t="shared" si="2"/>
        <v>0</v>
      </c>
      <c r="AC43" s="4">
        <f>(L43-M43)*(W43+X43)+($W$75+$X$75-$W$43-$X$43)*(L43)</f>
        <v>2381.1695999999993</v>
      </c>
      <c r="AD43" s="4">
        <f t="shared" si="4"/>
        <v>0</v>
      </c>
      <c r="AE43" s="4">
        <f ca="1">(L43-M43)*(Z43+AA43)+($Z$75+$AA$75-$Z$43-$AA$43)*(L43)</f>
        <v>2397.3771763578507</v>
      </c>
      <c r="AF43" s="3" t="s">
        <v>550</v>
      </c>
    </row>
    <row r="44" spans="1:32" ht="11.25" customHeight="1" x14ac:dyDescent="0.25">
      <c r="A44" s="3" t="s">
        <v>21</v>
      </c>
      <c r="B44" s="3" t="s">
        <v>22</v>
      </c>
      <c r="C44" s="3" t="s">
        <v>23</v>
      </c>
      <c r="D44" s="3" t="s">
        <v>24</v>
      </c>
      <c r="E44" s="3" t="s">
        <v>29</v>
      </c>
      <c r="F44" s="3" t="s">
        <v>25</v>
      </c>
      <c r="G44" s="3" t="s">
        <v>25</v>
      </c>
      <c r="H44" s="3" t="s">
        <v>25</v>
      </c>
      <c r="I44" s="6">
        <v>44593</v>
      </c>
      <c r="J44" s="4">
        <v>0</v>
      </c>
      <c r="K44" s="4">
        <v>0</v>
      </c>
      <c r="L44" s="4">
        <v>12.179</v>
      </c>
      <c r="M44" s="4">
        <v>12.179</v>
      </c>
      <c r="N44" s="4">
        <v>12.179</v>
      </c>
      <c r="O44" s="4">
        <v>12.179</v>
      </c>
      <c r="P44" s="4">
        <v>19</v>
      </c>
      <c r="Q44" s="3" t="s">
        <v>26</v>
      </c>
      <c r="R44" s="3">
        <v>0</v>
      </c>
      <c r="S44" s="3">
        <v>0</v>
      </c>
      <c r="T44" s="3">
        <v>8</v>
      </c>
      <c r="U44" s="3">
        <v>47</v>
      </c>
      <c r="V44" s="4">
        <f>IF(ISERROR(VLOOKUP($S$44,'TAR FIN'!$A$1:$O$88,15,0)),0,VLOOKUP($S$44,'TAR FIN'!$A$1:$O$88,15,0))</f>
        <v>0</v>
      </c>
      <c r="W44" s="4">
        <f>IF(ISERROR(VLOOKUP($T$44,'TAR FIN'!$A$1:$O$88,15,0)),0,VLOOKUP($T$44,'TAR FIN'!$A$1:$O$88,15,0))</f>
        <v>142.83000000000001</v>
      </c>
      <c r="X44" s="4">
        <f>IF(ISERROR(VLOOKUP($U$44,'TAR FIN'!$A$1:$O$88,15,0)),0,VLOOKUP($U$44,'TAR FIN'!$A$1:$O$88,15,0))</f>
        <v>57.82</v>
      </c>
      <c r="Y44" s="4"/>
      <c r="Z44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4" s="4">
        <f>('TE BE'!$AB$11+'TE BF'!$AB$11+'TE CVA'!$AB$11)*(1-CUSTOS!$M$34)</f>
        <v>53.88509488293014</v>
      </c>
      <c r="AB44" s="4">
        <f t="shared" si="2"/>
        <v>0</v>
      </c>
      <c r="AC44" s="4">
        <f>(L44-M44)*(W44+X44)+($W$75+$X$75-$W$44-$X$44)*(L44)</f>
        <v>4538.3825599999991</v>
      </c>
      <c r="AD44" s="4">
        <f t="shared" si="4"/>
        <v>0</v>
      </c>
      <c r="AE44" s="4">
        <f ca="1">(L44-M44)*(Z44+AA44)+($Z$75+$AA$75-$Z$44-$AA$44)*(L44)</f>
        <v>4569.2733381631087</v>
      </c>
      <c r="AF44" s="3" t="s">
        <v>550</v>
      </c>
    </row>
    <row r="45" spans="1:32" ht="11.25" customHeight="1" x14ac:dyDescent="0.25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29</v>
      </c>
      <c r="F45" s="3" t="s">
        <v>25</v>
      </c>
      <c r="G45" s="3" t="s">
        <v>25</v>
      </c>
      <c r="H45" s="3" t="s">
        <v>25</v>
      </c>
      <c r="I45" s="6">
        <v>44621</v>
      </c>
      <c r="J45" s="4">
        <v>0</v>
      </c>
      <c r="K45" s="4">
        <v>0</v>
      </c>
      <c r="L45" s="4">
        <v>13.053000000000001</v>
      </c>
      <c r="M45" s="4">
        <v>13.053000000000001</v>
      </c>
      <c r="N45" s="4">
        <v>13.053000000000001</v>
      </c>
      <c r="O45" s="4">
        <v>13.053000000000001</v>
      </c>
      <c r="P45" s="4">
        <v>23</v>
      </c>
      <c r="Q45" s="3" t="s">
        <v>26</v>
      </c>
      <c r="R45" s="3">
        <v>0</v>
      </c>
      <c r="S45" s="3">
        <v>0</v>
      </c>
      <c r="T45" s="3">
        <v>8</v>
      </c>
      <c r="U45" s="3">
        <v>47</v>
      </c>
      <c r="V45" s="4">
        <f>IF(ISERROR(VLOOKUP($S$45,'TAR FIN'!$A$1:$O$88,15,0)),0,VLOOKUP($S$45,'TAR FIN'!$A$1:$O$88,15,0))</f>
        <v>0</v>
      </c>
      <c r="W45" s="4">
        <f>IF(ISERROR(VLOOKUP($T$45,'TAR FIN'!$A$1:$O$88,15,0)),0,VLOOKUP($T$45,'TAR FIN'!$A$1:$O$88,15,0))</f>
        <v>142.83000000000001</v>
      </c>
      <c r="X45" s="4">
        <f>IF(ISERROR(VLOOKUP($U$45,'TAR FIN'!$A$1:$O$88,15,0)),0,VLOOKUP($U$45,'TAR FIN'!$A$1:$O$88,15,0))</f>
        <v>57.82</v>
      </c>
      <c r="Y45" s="4"/>
      <c r="Z45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5" s="4">
        <f>('TE BE'!$AB$11+'TE BF'!$AB$11+'TE CVA'!$AB$11)*(1-CUSTOS!$M$34)</f>
        <v>53.88509488293014</v>
      </c>
      <c r="AB45" s="4">
        <f t="shared" si="2"/>
        <v>0</v>
      </c>
      <c r="AC45" s="4">
        <f>(L45-M45)*(W45+X45)+($W$75+$X$75-$W$45-$X$45)*(L45)</f>
        <v>4864.069919999999</v>
      </c>
      <c r="AD45" s="4">
        <f t="shared" si="4"/>
        <v>0</v>
      </c>
      <c r="AE45" s="4">
        <f ca="1">(L45-M45)*(Z45+AA45)+($Z$75+$AA$75-$Z$45-$AA$45)*(L45)</f>
        <v>4897.1775090765304</v>
      </c>
      <c r="AF45" s="3" t="s">
        <v>550</v>
      </c>
    </row>
    <row r="46" spans="1:32" ht="11.25" customHeight="1" x14ac:dyDescent="0.25">
      <c r="A46" s="3" t="s">
        <v>21</v>
      </c>
      <c r="B46" s="3" t="s">
        <v>22</v>
      </c>
      <c r="C46" s="3" t="s">
        <v>23</v>
      </c>
      <c r="D46" s="3" t="s">
        <v>24</v>
      </c>
      <c r="E46" s="3" t="s">
        <v>29</v>
      </c>
      <c r="F46" s="3" t="s">
        <v>25</v>
      </c>
      <c r="G46" s="3" t="s">
        <v>25</v>
      </c>
      <c r="H46" s="3" t="s">
        <v>25</v>
      </c>
      <c r="I46" s="6">
        <v>44652</v>
      </c>
      <c r="J46" s="4">
        <v>0</v>
      </c>
      <c r="K46" s="4">
        <v>0</v>
      </c>
      <c r="L46" s="4">
        <v>13.14</v>
      </c>
      <c r="M46" s="4">
        <v>13.14</v>
      </c>
      <c r="N46" s="4">
        <v>13.14</v>
      </c>
      <c r="O46" s="4">
        <v>13.14</v>
      </c>
      <c r="P46" s="4">
        <v>24</v>
      </c>
      <c r="Q46" s="3" t="s">
        <v>26</v>
      </c>
      <c r="R46" s="3">
        <v>0</v>
      </c>
      <c r="S46" s="3">
        <v>0</v>
      </c>
      <c r="T46" s="3">
        <v>8</v>
      </c>
      <c r="U46" s="3">
        <v>47</v>
      </c>
      <c r="V46" s="4">
        <f>IF(ISERROR(VLOOKUP($S$46,'TAR FIN'!$A$1:$O$88,15,0)),0,VLOOKUP($S$46,'TAR FIN'!$A$1:$O$88,15,0))</f>
        <v>0</v>
      </c>
      <c r="W46" s="4">
        <f>IF(ISERROR(VLOOKUP($T$46,'TAR FIN'!$A$1:$O$88,15,0)),0,VLOOKUP($T$46,'TAR FIN'!$A$1:$O$88,15,0))</f>
        <v>142.83000000000001</v>
      </c>
      <c r="X46" s="4">
        <f>IF(ISERROR(VLOOKUP($U$46,'TAR FIN'!$A$1:$O$88,15,0)),0,VLOOKUP($U$46,'TAR FIN'!$A$1:$O$88,15,0))</f>
        <v>57.82</v>
      </c>
      <c r="Y46" s="4"/>
      <c r="Z46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6" s="4">
        <f>('TE BE'!$AB$11+'TE BF'!$AB$11+'TE CVA'!$AB$11)*(1-CUSTOS!$M$34)</f>
        <v>53.88509488293014</v>
      </c>
      <c r="AB46" s="4">
        <f t="shared" si="2"/>
        <v>0</v>
      </c>
      <c r="AC46" s="4">
        <f>(L46-M46)*(W46+X46)+($W$75+$X$75-$W$46-$X$46)*(L46)</f>
        <v>4896.489599999999</v>
      </c>
      <c r="AD46" s="4">
        <f t="shared" si="4"/>
        <v>0</v>
      </c>
      <c r="AE46" s="4">
        <f ca="1">(L46-M46)*(Z46+AA46)+($Z$75+$AA$75-$Z$46-$AA$46)*(L46)</f>
        <v>4929.8178556091016</v>
      </c>
      <c r="AF46" s="3" t="s">
        <v>550</v>
      </c>
    </row>
    <row r="47" spans="1:32" ht="11.25" customHeight="1" x14ac:dyDescent="0.25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29</v>
      </c>
      <c r="F47" s="3" t="s">
        <v>25</v>
      </c>
      <c r="G47" s="3" t="s">
        <v>25</v>
      </c>
      <c r="H47" s="3" t="s">
        <v>25</v>
      </c>
      <c r="I47" s="6">
        <v>44682</v>
      </c>
      <c r="J47" s="4">
        <v>0</v>
      </c>
      <c r="K47" s="4">
        <v>0</v>
      </c>
      <c r="L47" s="4">
        <v>12.45</v>
      </c>
      <c r="M47" s="4">
        <v>12.45</v>
      </c>
      <c r="N47" s="4">
        <v>12.45</v>
      </c>
      <c r="O47" s="4">
        <v>12.45</v>
      </c>
      <c r="P47" s="4">
        <v>33</v>
      </c>
      <c r="Q47" s="3" t="s">
        <v>26</v>
      </c>
      <c r="R47" s="3">
        <v>0</v>
      </c>
      <c r="S47" s="3">
        <v>0</v>
      </c>
      <c r="T47" s="3">
        <v>8</v>
      </c>
      <c r="U47" s="3">
        <v>47</v>
      </c>
      <c r="V47" s="4">
        <f>IF(ISERROR(VLOOKUP($S$47,'TAR FIN'!$A$1:$O$88,15,0)),0,VLOOKUP($S$47,'TAR FIN'!$A$1:$O$88,15,0))</f>
        <v>0</v>
      </c>
      <c r="W47" s="4">
        <f>IF(ISERROR(VLOOKUP($T$47,'TAR FIN'!$A$1:$O$88,15,0)),0,VLOOKUP($T$47,'TAR FIN'!$A$1:$O$88,15,0))</f>
        <v>142.83000000000001</v>
      </c>
      <c r="X47" s="4">
        <f>IF(ISERROR(VLOOKUP($U$47,'TAR FIN'!$A$1:$O$88,15,0)),0,VLOOKUP($U$47,'TAR FIN'!$A$1:$O$88,15,0))</f>
        <v>57.82</v>
      </c>
      <c r="Y47" s="4"/>
      <c r="Z47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7" s="4">
        <f>('TE BE'!$AB$11+'TE BF'!$AB$11+'TE CVA'!$AB$11)*(1-CUSTOS!$M$34)</f>
        <v>53.88509488293014</v>
      </c>
      <c r="AB47" s="4">
        <f t="shared" si="2"/>
        <v>0</v>
      </c>
      <c r="AC47" s="4">
        <f>(L47-M47)*(W47+X47)+($W$75+$X$75-$W$47-$X$47)*(L47)</f>
        <v>4639.3679999999986</v>
      </c>
      <c r="AD47" s="4">
        <f t="shared" si="4"/>
        <v>0</v>
      </c>
      <c r="AE47" s="4">
        <f ca="1">(L47-M47)*(Z47+AA47)+($Z$75+$AA$75-$Z$47-$AA$47)*(L47)</f>
        <v>4670.9461417300845</v>
      </c>
      <c r="AF47" s="3" t="s">
        <v>550</v>
      </c>
    </row>
    <row r="48" spans="1:32" ht="11.25" customHeight="1" x14ac:dyDescent="0.25">
      <c r="A48" s="3" t="s">
        <v>21</v>
      </c>
      <c r="B48" s="3" t="s">
        <v>22</v>
      </c>
      <c r="C48" s="3" t="s">
        <v>23</v>
      </c>
      <c r="D48" s="3" t="s">
        <v>24</v>
      </c>
      <c r="E48" s="3" t="s">
        <v>29</v>
      </c>
      <c r="F48" s="3" t="s">
        <v>25</v>
      </c>
      <c r="G48" s="3" t="s">
        <v>25</v>
      </c>
      <c r="H48" s="3" t="s">
        <v>25</v>
      </c>
      <c r="I48" s="6">
        <v>44713</v>
      </c>
      <c r="J48" s="4">
        <v>0</v>
      </c>
      <c r="K48" s="4">
        <v>0</v>
      </c>
      <c r="L48" s="4">
        <v>10.65</v>
      </c>
      <c r="M48" s="4">
        <v>10.65</v>
      </c>
      <c r="N48" s="4">
        <v>10.65</v>
      </c>
      <c r="O48" s="4">
        <v>10.65</v>
      </c>
      <c r="P48" s="4">
        <v>24</v>
      </c>
      <c r="Q48" s="3" t="s">
        <v>26</v>
      </c>
      <c r="R48" s="3">
        <v>0</v>
      </c>
      <c r="S48" s="3">
        <v>0</v>
      </c>
      <c r="T48" s="3">
        <v>8</v>
      </c>
      <c r="U48" s="3">
        <v>47</v>
      </c>
      <c r="V48" s="4">
        <f>IF(ISERROR(VLOOKUP($S$48,'TAR FIN'!$A$1:$O$88,15,0)),0,VLOOKUP($S$48,'TAR FIN'!$A$1:$O$88,15,0))</f>
        <v>0</v>
      </c>
      <c r="W48" s="4">
        <f>IF(ISERROR(VLOOKUP($T$48,'TAR FIN'!$A$1:$O$88,15,0)),0,VLOOKUP($T$48,'TAR FIN'!$A$1:$O$88,15,0))</f>
        <v>142.83000000000001</v>
      </c>
      <c r="X48" s="4">
        <f>IF(ISERROR(VLOOKUP($U$48,'TAR FIN'!$A$1:$O$88,15,0)),0,VLOOKUP($U$48,'TAR FIN'!$A$1:$O$88,15,0))</f>
        <v>57.82</v>
      </c>
      <c r="Y48" s="4"/>
      <c r="Z48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8" s="4">
        <f>('TE BE'!$AB$11+'TE BF'!$AB$11+'TE CVA'!$AB$11)*(1-CUSTOS!$M$34)</f>
        <v>53.88509488293014</v>
      </c>
      <c r="AB48" s="4">
        <f t="shared" si="2"/>
        <v>0</v>
      </c>
      <c r="AC48" s="4">
        <f>(L48-M48)*(W48+X48)+($W$75+$X$75-$W$48-$X$48)*(L48)</f>
        <v>3968.6159999999995</v>
      </c>
      <c r="AD48" s="4">
        <f t="shared" si="4"/>
        <v>0</v>
      </c>
      <c r="AE48" s="4">
        <f ca="1">(L48-M48)*(Z48+AA48)+($Z$75+$AA$75-$Z$48-$AA$48)*(L48)</f>
        <v>3995.628627263085</v>
      </c>
      <c r="AF48" s="3" t="s">
        <v>550</v>
      </c>
    </row>
    <row r="49" spans="1:32" ht="11.25" customHeight="1" x14ac:dyDescent="0.25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29</v>
      </c>
      <c r="F49" s="3" t="s">
        <v>25</v>
      </c>
      <c r="G49" s="3" t="s">
        <v>25</v>
      </c>
      <c r="H49" s="3" t="s">
        <v>25</v>
      </c>
      <c r="I49" s="6">
        <v>44743</v>
      </c>
      <c r="J49" s="4">
        <v>0</v>
      </c>
      <c r="K49" s="4">
        <v>0</v>
      </c>
      <c r="L49" s="4">
        <v>9.48</v>
      </c>
      <c r="M49" s="4">
        <v>9.48</v>
      </c>
      <c r="N49" s="4">
        <v>9.48</v>
      </c>
      <c r="O49" s="4">
        <v>9.48</v>
      </c>
      <c r="P49" s="4">
        <v>18</v>
      </c>
      <c r="Q49" s="3" t="s">
        <v>26</v>
      </c>
      <c r="R49" s="3">
        <v>0</v>
      </c>
      <c r="S49" s="3">
        <v>0</v>
      </c>
      <c r="T49" s="3">
        <v>8</v>
      </c>
      <c r="U49" s="3">
        <v>47</v>
      </c>
      <c r="V49" s="4">
        <f>IF(ISERROR(VLOOKUP($S$49,'TAR FIN'!$A$1:$O$88,15,0)),0,VLOOKUP($S$49,'TAR FIN'!$A$1:$O$88,15,0))</f>
        <v>0</v>
      </c>
      <c r="W49" s="4">
        <f>IF(ISERROR(VLOOKUP($T$49,'TAR FIN'!$A$1:$O$88,15,0)),0,VLOOKUP($T$49,'TAR FIN'!$A$1:$O$88,15,0))</f>
        <v>142.83000000000001</v>
      </c>
      <c r="X49" s="4">
        <f>IF(ISERROR(VLOOKUP($U$49,'TAR FIN'!$A$1:$O$88,15,0)),0,VLOOKUP($U$49,'TAR FIN'!$A$1:$O$88,15,0))</f>
        <v>57.82</v>
      </c>
      <c r="Y49" s="4"/>
      <c r="Z49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49" s="4">
        <f>('TE BE'!$AB$11+'TE BF'!$AB$11+'TE CVA'!$AB$11)*(1-CUSTOS!$M$34)</f>
        <v>53.88509488293014</v>
      </c>
      <c r="AB49" s="4">
        <f t="shared" si="2"/>
        <v>0</v>
      </c>
      <c r="AC49" s="4">
        <f>(L49-M49)*(W49+X49)+($W$75+$X$75-$W$49-$X$49)*(L49)</f>
        <v>3532.6271999999994</v>
      </c>
      <c r="AD49" s="4">
        <f t="shared" si="4"/>
        <v>0</v>
      </c>
      <c r="AE49" s="4">
        <f ca="1">(L49-M49)*(Z49+AA49)+($Z$75+$AA$75-$Z$49-$AA$49)*(L49)</f>
        <v>3556.6722428595349</v>
      </c>
      <c r="AF49" s="3" t="s">
        <v>550</v>
      </c>
    </row>
    <row r="50" spans="1:32" ht="11.25" customHeight="1" x14ac:dyDescent="0.25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29</v>
      </c>
      <c r="F50" s="3" t="s">
        <v>25</v>
      </c>
      <c r="G50" s="3" t="s">
        <v>25</v>
      </c>
      <c r="H50" s="3" t="s">
        <v>25</v>
      </c>
      <c r="I50" s="6">
        <v>44774</v>
      </c>
      <c r="J50" s="4">
        <v>0</v>
      </c>
      <c r="K50" s="4">
        <v>0</v>
      </c>
      <c r="L50" s="4">
        <v>9.6300000000000008</v>
      </c>
      <c r="M50" s="4">
        <v>9.6300000000000008</v>
      </c>
      <c r="N50" s="4">
        <v>9.6300000000000008</v>
      </c>
      <c r="O50" s="4">
        <v>9.6300000000000008</v>
      </c>
      <c r="P50" s="4">
        <v>18</v>
      </c>
      <c r="Q50" s="3" t="s">
        <v>26</v>
      </c>
      <c r="R50" s="3">
        <v>0</v>
      </c>
      <c r="S50" s="3">
        <v>0</v>
      </c>
      <c r="T50" s="3">
        <v>8</v>
      </c>
      <c r="U50" s="3">
        <v>47</v>
      </c>
      <c r="V50" s="4">
        <f>IF(ISERROR(VLOOKUP($S$50,'TAR FIN'!$A$1:$O$88,15,0)),0,VLOOKUP($S$50,'TAR FIN'!$A$1:$O$88,15,0))</f>
        <v>0</v>
      </c>
      <c r="W50" s="4">
        <f>IF(ISERROR(VLOOKUP($T$50,'TAR FIN'!$A$1:$O$88,15,0)),0,VLOOKUP($T$50,'TAR FIN'!$A$1:$O$88,15,0))</f>
        <v>142.83000000000001</v>
      </c>
      <c r="X50" s="4">
        <f>IF(ISERROR(VLOOKUP($U$50,'TAR FIN'!$A$1:$O$88,15,0)),0,VLOOKUP($U$50,'TAR FIN'!$A$1:$O$88,15,0))</f>
        <v>57.82</v>
      </c>
      <c r="Y50" s="4"/>
      <c r="Z50" s="4">
        <f ca="1">('TUSD BE'!$AM$21+'TUSD BF'!$AM$21+'TUSD CVA'!$AM$21-('TUSD BE'!$P$21+'TUSD BF'!$P$21+'TUSD CVA'!$P$21)-('TUSD BE'!$Q$21+'TUSD BF'!$Q$21+'TUSD CVA'!$Q$21)-('TUSD BE'!$R$21+'TUSD BF'!$R$21+'TUSD CVA'!$R$21))*(1-CUSTOS!$M$34)</f>
        <v>148.13296500036054</v>
      </c>
      <c r="AA50" s="4">
        <f>('TE BE'!$AB$11+'TE BF'!$AB$11+'TE CVA'!$AB$11)*(1-CUSTOS!$M$34)</f>
        <v>53.88509488293014</v>
      </c>
      <c r="AB50" s="4">
        <f t="shared" si="2"/>
        <v>0</v>
      </c>
      <c r="AC50" s="4">
        <f>(L50-M50)*(W50+X50)+($W$75+$X$75-$W$50-$X$50)*(L50)</f>
        <v>3588.5231999999996</v>
      </c>
      <c r="AD50" s="4">
        <f t="shared" si="4"/>
        <v>0</v>
      </c>
      <c r="AE50" s="4">
        <f ca="1">(L50-M50)*(Z50+AA50)+($Z$75+$AA$75-$Z$50-$AA$50)*(L50)</f>
        <v>3612.9487023984516</v>
      </c>
      <c r="AF50" s="3" t="s">
        <v>550</v>
      </c>
    </row>
    <row r="51" spans="1:32" ht="11.25" customHeight="1" x14ac:dyDescent="0.25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30</v>
      </c>
      <c r="F51" s="3" t="s">
        <v>25</v>
      </c>
      <c r="G51" s="3" t="s">
        <v>25</v>
      </c>
      <c r="H51" s="3" t="s">
        <v>25</v>
      </c>
      <c r="I51" s="6">
        <v>44440</v>
      </c>
      <c r="J51" s="4">
        <v>0</v>
      </c>
      <c r="K51" s="4">
        <v>0</v>
      </c>
      <c r="L51" s="4">
        <v>12.31</v>
      </c>
      <c r="M51" s="4">
        <v>12.31</v>
      </c>
      <c r="N51" s="4">
        <v>12.31</v>
      </c>
      <c r="O51" s="4">
        <v>12.31</v>
      </c>
      <c r="P51" s="4">
        <v>27</v>
      </c>
      <c r="Q51" s="3" t="s">
        <v>26</v>
      </c>
      <c r="R51" s="3">
        <v>0</v>
      </c>
      <c r="S51" s="3">
        <v>0</v>
      </c>
      <c r="T51" s="3">
        <v>14</v>
      </c>
      <c r="U51" s="3">
        <v>68</v>
      </c>
      <c r="V51" s="4">
        <f>IF(ISERROR(VLOOKUP($S$51,'TAR FIN'!$A$1:$O$88,15,0)),0,VLOOKUP($S$51,'TAR FIN'!$A$1:$O$88,15,0))</f>
        <v>0</v>
      </c>
      <c r="W51" s="4">
        <f>IF(ISERROR(VLOOKUP($T$51,'TAR FIN'!$A$1:$O$88,15,0)),0,VLOOKUP($T$51,'TAR FIN'!$A$1:$O$88,15,0))</f>
        <v>244.85</v>
      </c>
      <c r="X51" s="4">
        <f>IF(ISERROR(VLOOKUP($U$51,'TAR FIN'!$A$1:$O$88,15,0)),0,VLOOKUP($U$51,'TAR FIN'!$A$1:$O$88,15,0))</f>
        <v>99.12</v>
      </c>
      <c r="Y51" s="4"/>
      <c r="Z51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1" s="4">
        <f>('TE BE'!$AB$12+'TE BF'!$AB$12+'TE CVA'!$AB$12)*(1-CUSTOS!$M$35)</f>
        <v>92.374448370737383</v>
      </c>
      <c r="AB51" s="4">
        <f t="shared" si="2"/>
        <v>0</v>
      </c>
      <c r="AC51" s="4">
        <f>(L51-M51)*(W51+X51)+($W$75+$X$75-$W$51-$X$51)*(L51)</f>
        <v>2822.9291999999991</v>
      </c>
      <c r="AD51" s="4">
        <f t="shared" si="4"/>
        <v>0</v>
      </c>
      <c r="AE51" s="4">
        <f ca="1">(L51-M51)*(Z51+AA51)+($Z$75+$AA$75-$Z$51-$AA$51)*(L51)</f>
        <v>2842.1055053294949</v>
      </c>
      <c r="AF51" s="3" t="s">
        <v>550</v>
      </c>
    </row>
    <row r="52" spans="1:32" ht="11.25" customHeight="1" x14ac:dyDescent="0.25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30</v>
      </c>
      <c r="F52" s="3" t="s">
        <v>25</v>
      </c>
      <c r="G52" s="3" t="s">
        <v>25</v>
      </c>
      <c r="H52" s="3" t="s">
        <v>25</v>
      </c>
      <c r="I52" s="6">
        <v>44470</v>
      </c>
      <c r="J52" s="4">
        <v>0</v>
      </c>
      <c r="K52" s="4">
        <v>0</v>
      </c>
      <c r="L52" s="4">
        <v>11.971</v>
      </c>
      <c r="M52" s="4">
        <v>11.971</v>
      </c>
      <c r="N52" s="4">
        <v>11.971</v>
      </c>
      <c r="O52" s="4">
        <v>11.971</v>
      </c>
      <c r="P52" s="4">
        <v>40</v>
      </c>
      <c r="Q52" s="3" t="s">
        <v>26</v>
      </c>
      <c r="R52" s="3">
        <v>0</v>
      </c>
      <c r="S52" s="3">
        <v>0</v>
      </c>
      <c r="T52" s="3">
        <v>14</v>
      </c>
      <c r="U52" s="3">
        <v>68</v>
      </c>
      <c r="V52" s="4">
        <f>IF(ISERROR(VLOOKUP($S$52,'TAR FIN'!$A$1:$O$88,15,0)),0,VLOOKUP($S$52,'TAR FIN'!$A$1:$O$88,15,0))</f>
        <v>0</v>
      </c>
      <c r="W52" s="4">
        <f>IF(ISERROR(VLOOKUP($T$52,'TAR FIN'!$A$1:$O$88,15,0)),0,VLOOKUP($T$52,'TAR FIN'!$A$1:$O$88,15,0))</f>
        <v>244.85</v>
      </c>
      <c r="X52" s="4">
        <f>IF(ISERROR(VLOOKUP($U$52,'TAR FIN'!$A$1:$O$88,15,0)),0,VLOOKUP($U$52,'TAR FIN'!$A$1:$O$88,15,0))</f>
        <v>99.12</v>
      </c>
      <c r="Y52" s="4"/>
      <c r="Z52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2" s="4">
        <f>('TE BE'!$AB$12+'TE BF'!$AB$12+'TE CVA'!$AB$12)*(1-CUSTOS!$M$35)</f>
        <v>92.374448370737383</v>
      </c>
      <c r="AB52" s="4">
        <f t="shared" si="2"/>
        <v>0</v>
      </c>
      <c r="AC52" s="4">
        <f>(L52-M52)*(W52+X52)+($W$75+$X$75-$W$52-$X$52)*(L52)</f>
        <v>2745.1897199999994</v>
      </c>
      <c r="AD52" s="4">
        <f t="shared" si="4"/>
        <v>0</v>
      </c>
      <c r="AE52" s="4">
        <f ca="1">(L52-M52)*(Z52+AA52)+($Z$75+$AA$75-$Z$52-$AA$52)*(L52)</f>
        <v>2763.83793698614</v>
      </c>
      <c r="AF52" s="3" t="s">
        <v>550</v>
      </c>
    </row>
    <row r="53" spans="1:32" ht="11.25" customHeight="1" x14ac:dyDescent="0.25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30</v>
      </c>
      <c r="F53" s="3" t="s">
        <v>25</v>
      </c>
      <c r="G53" s="3" t="s">
        <v>25</v>
      </c>
      <c r="H53" s="3" t="s">
        <v>25</v>
      </c>
      <c r="I53" s="6">
        <v>44501</v>
      </c>
      <c r="J53" s="4">
        <v>0</v>
      </c>
      <c r="K53" s="4">
        <v>0</v>
      </c>
      <c r="L53" s="4">
        <v>12.382</v>
      </c>
      <c r="M53" s="4">
        <v>12.382</v>
      </c>
      <c r="N53" s="4">
        <v>12.382</v>
      </c>
      <c r="O53" s="4">
        <v>12.382</v>
      </c>
      <c r="P53" s="4">
        <v>26</v>
      </c>
      <c r="Q53" s="3" t="s">
        <v>26</v>
      </c>
      <c r="R53" s="3">
        <v>0</v>
      </c>
      <c r="S53" s="3">
        <v>0</v>
      </c>
      <c r="T53" s="3">
        <v>14</v>
      </c>
      <c r="U53" s="3">
        <v>68</v>
      </c>
      <c r="V53" s="4">
        <f>IF(ISERROR(VLOOKUP($S$53,'TAR FIN'!$A$1:$O$88,15,0)),0,VLOOKUP($S$53,'TAR FIN'!$A$1:$O$88,15,0))</f>
        <v>0</v>
      </c>
      <c r="W53" s="4">
        <f>IF(ISERROR(VLOOKUP($T$53,'TAR FIN'!$A$1:$O$88,15,0)),0,VLOOKUP($T$53,'TAR FIN'!$A$1:$O$88,15,0))</f>
        <v>244.85</v>
      </c>
      <c r="X53" s="4">
        <f>IF(ISERROR(VLOOKUP($U$53,'TAR FIN'!$A$1:$O$88,15,0)),0,VLOOKUP($U$53,'TAR FIN'!$A$1:$O$88,15,0))</f>
        <v>99.12</v>
      </c>
      <c r="Y53" s="4"/>
      <c r="Z53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3" s="4">
        <f>('TE BE'!$AB$12+'TE BF'!$AB$12+'TE CVA'!$AB$12)*(1-CUSTOS!$M$35)</f>
        <v>92.374448370737383</v>
      </c>
      <c r="AB53" s="4">
        <f t="shared" si="2"/>
        <v>0</v>
      </c>
      <c r="AC53" s="4">
        <f>(L53-M53)*(W53+X53)+($W$75+$X$75-$W$53-$X$53)*(L53)</f>
        <v>2839.440239999999</v>
      </c>
      <c r="AD53" s="4">
        <f t="shared" si="4"/>
        <v>0</v>
      </c>
      <c r="AE53" s="4">
        <f ca="1">(L53-M53)*(Z53+AA53)+($Z$75+$AA$75-$Z$53-$AA$53)*(L53)</f>
        <v>2858.7287056856057</v>
      </c>
      <c r="AF53" s="3" t="s">
        <v>550</v>
      </c>
    </row>
    <row r="54" spans="1:32" ht="11.25" customHeight="1" x14ac:dyDescent="0.25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30</v>
      </c>
      <c r="F54" s="3" t="s">
        <v>25</v>
      </c>
      <c r="G54" s="3" t="s">
        <v>25</v>
      </c>
      <c r="H54" s="3" t="s">
        <v>25</v>
      </c>
      <c r="I54" s="6">
        <v>44531</v>
      </c>
      <c r="J54" s="4">
        <v>0</v>
      </c>
      <c r="K54" s="4">
        <v>0</v>
      </c>
      <c r="L54" s="4">
        <v>13.146000000000001</v>
      </c>
      <c r="M54" s="4">
        <v>13.146000000000001</v>
      </c>
      <c r="N54" s="4">
        <v>13.146000000000001</v>
      </c>
      <c r="O54" s="4">
        <v>13.146000000000001</v>
      </c>
      <c r="P54" s="4">
        <v>26</v>
      </c>
      <c r="Q54" s="3" t="s">
        <v>26</v>
      </c>
      <c r="R54" s="3">
        <v>0</v>
      </c>
      <c r="S54" s="3">
        <v>0</v>
      </c>
      <c r="T54" s="3">
        <v>14</v>
      </c>
      <c r="U54" s="3">
        <v>68</v>
      </c>
      <c r="V54" s="4">
        <f>IF(ISERROR(VLOOKUP($S$54,'TAR FIN'!$A$1:$O$88,15,0)),0,VLOOKUP($S$54,'TAR FIN'!$A$1:$O$88,15,0))</f>
        <v>0</v>
      </c>
      <c r="W54" s="4">
        <f>IF(ISERROR(VLOOKUP($T$54,'TAR FIN'!$A$1:$O$88,15,0)),0,VLOOKUP($T$54,'TAR FIN'!$A$1:$O$88,15,0))</f>
        <v>244.85</v>
      </c>
      <c r="X54" s="4">
        <f>IF(ISERROR(VLOOKUP($U$54,'TAR FIN'!$A$1:$O$88,15,0)),0,VLOOKUP($U$54,'TAR FIN'!$A$1:$O$88,15,0))</f>
        <v>99.12</v>
      </c>
      <c r="Y54" s="4"/>
      <c r="Z54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4" s="4">
        <f>('TE BE'!$AB$12+'TE BF'!$AB$12+'TE CVA'!$AB$12)*(1-CUSTOS!$M$35)</f>
        <v>92.374448370737383</v>
      </c>
      <c r="AB54" s="4">
        <f t="shared" si="2"/>
        <v>0</v>
      </c>
      <c r="AC54" s="4">
        <f>(L54-M54)*(W54+X54)+($W$75+$X$75-$W$54-$X$54)*(L54)</f>
        <v>3014.6407199999994</v>
      </c>
      <c r="AD54" s="4">
        <f t="shared" si="4"/>
        <v>0</v>
      </c>
      <c r="AE54" s="4">
        <f ca="1">(L54-M54)*(Z54+AA54)+($Z$75+$AA$75-$Z$54-$AA$54)*(L54)</f>
        <v>3035.1193316865592</v>
      </c>
      <c r="AF54" s="3" t="s">
        <v>550</v>
      </c>
    </row>
    <row r="55" spans="1:32" ht="11.25" customHeight="1" x14ac:dyDescent="0.25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30</v>
      </c>
      <c r="F55" s="3" t="s">
        <v>25</v>
      </c>
      <c r="G55" s="3" t="s">
        <v>25</v>
      </c>
      <c r="H55" s="3" t="s">
        <v>25</v>
      </c>
      <c r="I55" s="6">
        <v>44562</v>
      </c>
      <c r="J55" s="4">
        <v>0</v>
      </c>
      <c r="K55" s="4">
        <v>0</v>
      </c>
      <c r="L55" s="4">
        <v>13.582000000000001</v>
      </c>
      <c r="M55" s="4">
        <v>13.582000000000001</v>
      </c>
      <c r="N55" s="4">
        <v>13.582000000000001</v>
      </c>
      <c r="O55" s="4">
        <v>13.582000000000001</v>
      </c>
      <c r="P55" s="4">
        <v>23</v>
      </c>
      <c r="Q55" s="3" t="s">
        <v>26</v>
      </c>
      <c r="R55" s="3">
        <v>0</v>
      </c>
      <c r="S55" s="3">
        <v>0</v>
      </c>
      <c r="T55" s="3">
        <v>14</v>
      </c>
      <c r="U55" s="3">
        <v>68</v>
      </c>
      <c r="V55" s="4">
        <f>IF(ISERROR(VLOOKUP($S$55,'TAR FIN'!$A$1:$O$88,15,0)),0,VLOOKUP($S$55,'TAR FIN'!$A$1:$O$88,15,0))</f>
        <v>0</v>
      </c>
      <c r="W55" s="4">
        <f>IF(ISERROR(VLOOKUP($T$55,'TAR FIN'!$A$1:$O$88,15,0)),0,VLOOKUP($T$55,'TAR FIN'!$A$1:$O$88,15,0))</f>
        <v>244.85</v>
      </c>
      <c r="X55" s="4">
        <f>IF(ISERROR(VLOOKUP($U$55,'TAR FIN'!$A$1:$O$88,15,0)),0,VLOOKUP($U$55,'TAR FIN'!$A$1:$O$88,15,0))</f>
        <v>99.12</v>
      </c>
      <c r="Y55" s="4"/>
      <c r="Z55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5" s="4">
        <f>('TE BE'!$AB$12+'TE BF'!$AB$12+'TE CVA'!$AB$12)*(1-CUSTOS!$M$35)</f>
        <v>92.374448370737383</v>
      </c>
      <c r="AB55" s="4">
        <f t="shared" si="2"/>
        <v>0</v>
      </c>
      <c r="AC55" s="4">
        <f>(L55-M55)*(W55+X55)+($W$75+$X$75-$W$55-$X$55)*(L55)</f>
        <v>3114.6242399999992</v>
      </c>
      <c r="AD55" s="4">
        <f t="shared" si="4"/>
        <v>0</v>
      </c>
      <c r="AE55" s="4">
        <f ca="1">(L55-M55)*(Z55+AA55)+($Z$75+$AA$75-$Z$55-$AA$55)*(L55)</f>
        <v>3135.7820449541186</v>
      </c>
      <c r="AF55" s="3" t="s">
        <v>550</v>
      </c>
    </row>
    <row r="56" spans="1:32" ht="11.25" customHeight="1" x14ac:dyDescent="0.25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30</v>
      </c>
      <c r="F56" s="3" t="s">
        <v>25</v>
      </c>
      <c r="G56" s="3" t="s">
        <v>25</v>
      </c>
      <c r="H56" s="3" t="s">
        <v>25</v>
      </c>
      <c r="I56" s="6">
        <v>44593</v>
      </c>
      <c r="J56" s="4">
        <v>0</v>
      </c>
      <c r="K56" s="4">
        <v>0</v>
      </c>
      <c r="L56" s="4">
        <v>24.603000000000002</v>
      </c>
      <c r="M56" s="4">
        <v>24.603000000000002</v>
      </c>
      <c r="N56" s="4">
        <v>24.603000000000002</v>
      </c>
      <c r="O56" s="4">
        <v>24.603000000000002</v>
      </c>
      <c r="P56" s="4">
        <v>75</v>
      </c>
      <c r="Q56" s="3" t="s">
        <v>26</v>
      </c>
      <c r="R56" s="3">
        <v>0</v>
      </c>
      <c r="S56" s="3">
        <v>0</v>
      </c>
      <c r="T56" s="3">
        <v>14</v>
      </c>
      <c r="U56" s="3">
        <v>68</v>
      </c>
      <c r="V56" s="4">
        <f>IF(ISERROR(VLOOKUP($S$56,'TAR FIN'!$A$1:$O$88,15,0)),0,VLOOKUP($S$56,'TAR FIN'!$A$1:$O$88,15,0))</f>
        <v>0</v>
      </c>
      <c r="W56" s="4">
        <f>IF(ISERROR(VLOOKUP($T$56,'TAR FIN'!$A$1:$O$88,15,0)),0,VLOOKUP($T$56,'TAR FIN'!$A$1:$O$88,15,0))</f>
        <v>244.85</v>
      </c>
      <c r="X56" s="4">
        <f>IF(ISERROR(VLOOKUP($U$56,'TAR FIN'!$A$1:$O$88,15,0)),0,VLOOKUP($U$56,'TAR FIN'!$A$1:$O$88,15,0))</f>
        <v>99.12</v>
      </c>
      <c r="Y56" s="4"/>
      <c r="Z56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6" s="4">
        <f>('TE BE'!$AB$12+'TE BF'!$AB$12+'TE CVA'!$AB$12)*(1-CUSTOS!$M$35)</f>
        <v>92.374448370737383</v>
      </c>
      <c r="AB56" s="4">
        <f t="shared" si="2"/>
        <v>0</v>
      </c>
      <c r="AC56" s="4">
        <f>(L56-M56)*(W56+X56)+($W$75+$X$75-$W$56-$X$56)*(L56)</f>
        <v>5641.9599599999992</v>
      </c>
      <c r="AD56" s="4">
        <f t="shared" si="4"/>
        <v>0</v>
      </c>
      <c r="AE56" s="4">
        <f ca="1">(L56-M56)*(Z56+AA56)+($Z$75+$AA$75-$Z$56-$AA$56)*(L56)</f>
        <v>5680.2860883526864</v>
      </c>
      <c r="AF56" s="3" t="s">
        <v>550</v>
      </c>
    </row>
    <row r="57" spans="1:32" ht="11.25" customHeight="1" x14ac:dyDescent="0.25">
      <c r="A57" s="3" t="s">
        <v>21</v>
      </c>
      <c r="B57" s="3" t="s">
        <v>22</v>
      </c>
      <c r="C57" s="3" t="s">
        <v>23</v>
      </c>
      <c r="D57" s="3" t="s">
        <v>24</v>
      </c>
      <c r="E57" s="3" t="s">
        <v>30</v>
      </c>
      <c r="F57" s="3" t="s">
        <v>25</v>
      </c>
      <c r="G57" s="3" t="s">
        <v>25</v>
      </c>
      <c r="H57" s="3" t="s">
        <v>25</v>
      </c>
      <c r="I57" s="6">
        <v>44621</v>
      </c>
      <c r="J57" s="4">
        <v>0</v>
      </c>
      <c r="K57" s="4">
        <v>0</v>
      </c>
      <c r="L57" s="4">
        <v>26.404</v>
      </c>
      <c r="M57" s="4">
        <v>26.404</v>
      </c>
      <c r="N57" s="4">
        <v>26.404</v>
      </c>
      <c r="O57" s="4">
        <v>26.404</v>
      </c>
      <c r="P57" s="4">
        <v>77</v>
      </c>
      <c r="Q57" s="3" t="s">
        <v>26</v>
      </c>
      <c r="R57" s="3">
        <v>0</v>
      </c>
      <c r="S57" s="3">
        <v>0</v>
      </c>
      <c r="T57" s="3">
        <v>14</v>
      </c>
      <c r="U57" s="3">
        <v>68</v>
      </c>
      <c r="V57" s="4">
        <f>IF(ISERROR(VLOOKUP($S$57,'TAR FIN'!$A$1:$O$88,15,0)),0,VLOOKUP($S$57,'TAR FIN'!$A$1:$O$88,15,0))</f>
        <v>0</v>
      </c>
      <c r="W57" s="4">
        <f>IF(ISERROR(VLOOKUP($T$57,'TAR FIN'!$A$1:$O$88,15,0)),0,VLOOKUP($T$57,'TAR FIN'!$A$1:$O$88,15,0))</f>
        <v>244.85</v>
      </c>
      <c r="X57" s="4">
        <f>IF(ISERROR(VLOOKUP($U$57,'TAR FIN'!$A$1:$O$88,15,0)),0,VLOOKUP($U$57,'TAR FIN'!$A$1:$O$88,15,0))</f>
        <v>99.12</v>
      </c>
      <c r="Y57" s="4"/>
      <c r="Z57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7" s="4">
        <f>('TE BE'!$AB$12+'TE BF'!$AB$12+'TE CVA'!$AB$12)*(1-CUSTOS!$M$35)</f>
        <v>92.374448370737383</v>
      </c>
      <c r="AB57" s="4">
        <f t="shared" si="2"/>
        <v>0</v>
      </c>
      <c r="AC57" s="4">
        <f>(L57-M57)*(W57+X57)+($W$75+$X$75-$W$57-$X$57)*(L57)</f>
        <v>6054.9652799999985</v>
      </c>
      <c r="AD57" s="4">
        <f t="shared" si="4"/>
        <v>0</v>
      </c>
      <c r="AE57" s="4">
        <f ca="1">(L57-M57)*(Z57+AA57)+($Z$75+$AA$75-$Z$57-$AA$57)*(L57)</f>
        <v>6096.0969750381792</v>
      </c>
      <c r="AF57" s="3" t="s">
        <v>550</v>
      </c>
    </row>
    <row r="58" spans="1:32" ht="11.25" customHeight="1" x14ac:dyDescent="0.25">
      <c r="A58" s="3" t="s">
        <v>21</v>
      </c>
      <c r="B58" s="3" t="s">
        <v>22</v>
      </c>
      <c r="C58" s="3" t="s">
        <v>23</v>
      </c>
      <c r="D58" s="3" t="s">
        <v>24</v>
      </c>
      <c r="E58" s="3" t="s">
        <v>30</v>
      </c>
      <c r="F58" s="3" t="s">
        <v>25</v>
      </c>
      <c r="G58" s="3" t="s">
        <v>25</v>
      </c>
      <c r="H58" s="3" t="s">
        <v>25</v>
      </c>
      <c r="I58" s="6">
        <v>44652</v>
      </c>
      <c r="J58" s="4">
        <v>0</v>
      </c>
      <c r="K58" s="4">
        <v>0</v>
      </c>
      <c r="L58" s="4">
        <v>26.151</v>
      </c>
      <c r="M58" s="4">
        <v>26.151</v>
      </c>
      <c r="N58" s="4">
        <v>26.151</v>
      </c>
      <c r="O58" s="4">
        <v>26.151</v>
      </c>
      <c r="P58" s="4">
        <v>88</v>
      </c>
      <c r="Q58" s="3" t="s">
        <v>26</v>
      </c>
      <c r="R58" s="3">
        <v>0</v>
      </c>
      <c r="S58" s="3">
        <v>0</v>
      </c>
      <c r="T58" s="3">
        <v>14</v>
      </c>
      <c r="U58" s="3">
        <v>68</v>
      </c>
      <c r="V58" s="4">
        <f>IF(ISERROR(VLOOKUP($S$58,'TAR FIN'!$A$1:$O$88,15,0)),0,VLOOKUP($S$58,'TAR FIN'!$A$1:$O$88,15,0))</f>
        <v>0</v>
      </c>
      <c r="W58" s="4">
        <f>IF(ISERROR(VLOOKUP($T$58,'TAR FIN'!$A$1:$O$88,15,0)),0,VLOOKUP($T$58,'TAR FIN'!$A$1:$O$88,15,0))</f>
        <v>244.85</v>
      </c>
      <c r="X58" s="4">
        <f>IF(ISERROR(VLOOKUP($U$58,'TAR FIN'!$A$1:$O$88,15,0)),0,VLOOKUP($U$58,'TAR FIN'!$A$1:$O$88,15,0))</f>
        <v>99.12</v>
      </c>
      <c r="Y58" s="4"/>
      <c r="Z58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8" s="4">
        <f>('TE BE'!$AB$12+'TE BF'!$AB$12+'TE CVA'!$AB$12)*(1-CUSTOS!$M$35)</f>
        <v>92.374448370737383</v>
      </c>
      <c r="AB58" s="4">
        <f t="shared" si="2"/>
        <v>0</v>
      </c>
      <c r="AC58" s="4">
        <f>(L58-M58)*(W58+X58)+($W$75+$X$75-$W$58-$X$58)*(L58)</f>
        <v>5996.9473199999984</v>
      </c>
      <c r="AD58" s="4">
        <f t="shared" si="4"/>
        <v>0</v>
      </c>
      <c r="AE58" s="4">
        <f ca="1">(L58-M58)*(Z58+AA58)+($Z$75+$AA$75-$Z$58-$AA$58)*(L58)</f>
        <v>6037.6848960090674</v>
      </c>
      <c r="AF58" s="3" t="s">
        <v>550</v>
      </c>
    </row>
    <row r="59" spans="1:32" ht="11.25" customHeight="1" x14ac:dyDescent="0.25">
      <c r="A59" s="3" t="s">
        <v>21</v>
      </c>
      <c r="B59" s="3" t="s">
        <v>22</v>
      </c>
      <c r="C59" s="3" t="s">
        <v>23</v>
      </c>
      <c r="D59" s="3" t="s">
        <v>24</v>
      </c>
      <c r="E59" s="3" t="s">
        <v>30</v>
      </c>
      <c r="F59" s="3" t="s">
        <v>25</v>
      </c>
      <c r="G59" s="3" t="s">
        <v>25</v>
      </c>
      <c r="H59" s="3" t="s">
        <v>25</v>
      </c>
      <c r="I59" s="6">
        <v>44682</v>
      </c>
      <c r="J59" s="4">
        <v>0</v>
      </c>
      <c r="K59" s="4">
        <v>0</v>
      </c>
      <c r="L59" s="4">
        <v>24.312000000000001</v>
      </c>
      <c r="M59" s="4">
        <v>24.312000000000001</v>
      </c>
      <c r="N59" s="4">
        <v>24.312000000000001</v>
      </c>
      <c r="O59" s="4">
        <v>24.312000000000001</v>
      </c>
      <c r="P59" s="4">
        <v>83</v>
      </c>
      <c r="Q59" s="3" t="s">
        <v>26</v>
      </c>
      <c r="R59" s="3">
        <v>0</v>
      </c>
      <c r="S59" s="3">
        <v>0</v>
      </c>
      <c r="T59" s="3">
        <v>14</v>
      </c>
      <c r="U59" s="3">
        <v>68</v>
      </c>
      <c r="V59" s="4">
        <f>IF(ISERROR(VLOOKUP($S$59,'TAR FIN'!$A$1:$O$88,15,0)),0,VLOOKUP($S$59,'TAR FIN'!$A$1:$O$88,15,0))</f>
        <v>0</v>
      </c>
      <c r="W59" s="4">
        <f>IF(ISERROR(VLOOKUP($T$59,'TAR FIN'!$A$1:$O$88,15,0)),0,VLOOKUP($T$59,'TAR FIN'!$A$1:$O$88,15,0))</f>
        <v>244.85</v>
      </c>
      <c r="X59" s="4">
        <f>IF(ISERROR(VLOOKUP($U$59,'TAR FIN'!$A$1:$O$88,15,0)),0,VLOOKUP($U$59,'TAR FIN'!$A$1:$O$88,15,0))</f>
        <v>99.12</v>
      </c>
      <c r="Y59" s="4"/>
      <c r="Z59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59" s="4">
        <f>('TE BE'!$AB$12+'TE BF'!$AB$12+'TE CVA'!$AB$12)*(1-CUSTOS!$M$35)</f>
        <v>92.374448370737383</v>
      </c>
      <c r="AB59" s="4">
        <f t="shared" si="2"/>
        <v>0</v>
      </c>
      <c r="AC59" s="4">
        <f>(L59-M59)*(W59+X59)+($W$75+$X$75-$W$59-$X$59)*(L59)</f>
        <v>5575.2278399999987</v>
      </c>
      <c r="AD59" s="4">
        <f t="shared" si="4"/>
        <v>0</v>
      </c>
      <c r="AE59" s="4">
        <f ca="1">(L59-M59)*(Z59+AA59)+($Z$75+$AA$75-$Z$59-$AA$59)*(L59)</f>
        <v>5613.1006535800716</v>
      </c>
      <c r="AF59" s="3" t="s">
        <v>550</v>
      </c>
    </row>
    <row r="60" spans="1:32" ht="11.25" customHeight="1" x14ac:dyDescent="0.25">
      <c r="A60" s="3" t="s">
        <v>21</v>
      </c>
      <c r="B60" s="3" t="s">
        <v>22</v>
      </c>
      <c r="C60" s="3" t="s">
        <v>23</v>
      </c>
      <c r="D60" s="3" t="s">
        <v>24</v>
      </c>
      <c r="E60" s="3" t="s">
        <v>30</v>
      </c>
      <c r="F60" s="3" t="s">
        <v>25</v>
      </c>
      <c r="G60" s="3" t="s">
        <v>25</v>
      </c>
      <c r="H60" s="3" t="s">
        <v>25</v>
      </c>
      <c r="I60" s="6">
        <v>44713</v>
      </c>
      <c r="J60" s="4">
        <v>0</v>
      </c>
      <c r="K60" s="4">
        <v>0</v>
      </c>
      <c r="L60" s="4">
        <v>21.07</v>
      </c>
      <c r="M60" s="4">
        <v>21.07</v>
      </c>
      <c r="N60" s="4">
        <v>21.07</v>
      </c>
      <c r="O60" s="4">
        <v>21.07</v>
      </c>
      <c r="P60" s="4">
        <v>74</v>
      </c>
      <c r="Q60" s="3" t="s">
        <v>26</v>
      </c>
      <c r="R60" s="3">
        <v>0</v>
      </c>
      <c r="S60" s="3">
        <v>0</v>
      </c>
      <c r="T60" s="3">
        <v>14</v>
      </c>
      <c r="U60" s="3">
        <v>68</v>
      </c>
      <c r="V60" s="4">
        <f>IF(ISERROR(VLOOKUP($S$60,'TAR FIN'!$A$1:$O$88,15,0)),0,VLOOKUP($S$60,'TAR FIN'!$A$1:$O$88,15,0))</f>
        <v>0</v>
      </c>
      <c r="W60" s="4">
        <f>IF(ISERROR(VLOOKUP($T$60,'TAR FIN'!$A$1:$O$88,15,0)),0,VLOOKUP($T$60,'TAR FIN'!$A$1:$O$88,15,0))</f>
        <v>244.85</v>
      </c>
      <c r="X60" s="4">
        <f>IF(ISERROR(VLOOKUP($U$60,'TAR FIN'!$A$1:$O$88,15,0)),0,VLOOKUP($U$60,'TAR FIN'!$A$1:$O$88,15,0))</f>
        <v>99.12</v>
      </c>
      <c r="Y60" s="4"/>
      <c r="Z60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60" s="4">
        <f>('TE BE'!$AB$12+'TE BF'!$AB$12+'TE CVA'!$AB$12)*(1-CUSTOS!$M$35)</f>
        <v>92.374448370737383</v>
      </c>
      <c r="AB60" s="4">
        <f t="shared" si="2"/>
        <v>0</v>
      </c>
      <c r="AC60" s="4">
        <f>(L60-M60)*(W60+X60)+($W$75+$X$75-$W$60-$X$60)*(L60)</f>
        <v>4831.7723999999989</v>
      </c>
      <c r="AD60" s="4">
        <f t="shared" si="4"/>
        <v>0</v>
      </c>
      <c r="AE60" s="4">
        <f ca="1">(L60-M60)*(Z60+AA60)+($Z$75+$AA$75-$Z$60-$AA$60)*(L60)</f>
        <v>4864.5948819896394</v>
      </c>
      <c r="AF60" s="3" t="s">
        <v>550</v>
      </c>
    </row>
    <row r="61" spans="1:32" ht="11.25" customHeight="1" x14ac:dyDescent="0.25">
      <c r="A61" s="3" t="s">
        <v>21</v>
      </c>
      <c r="B61" s="3" t="s">
        <v>22</v>
      </c>
      <c r="C61" s="3" t="s">
        <v>23</v>
      </c>
      <c r="D61" s="3" t="s">
        <v>24</v>
      </c>
      <c r="E61" s="3" t="s">
        <v>30</v>
      </c>
      <c r="F61" s="3" t="s">
        <v>25</v>
      </c>
      <c r="G61" s="3" t="s">
        <v>25</v>
      </c>
      <c r="H61" s="3" t="s">
        <v>25</v>
      </c>
      <c r="I61" s="6">
        <v>44743</v>
      </c>
      <c r="J61" s="4">
        <v>0</v>
      </c>
      <c r="K61" s="4">
        <v>0</v>
      </c>
      <c r="L61" s="4">
        <v>18.611000000000001</v>
      </c>
      <c r="M61" s="4">
        <v>18.611000000000001</v>
      </c>
      <c r="N61" s="4">
        <v>18.611000000000001</v>
      </c>
      <c r="O61" s="4">
        <v>18.611000000000001</v>
      </c>
      <c r="P61" s="4">
        <v>79</v>
      </c>
      <c r="Q61" s="3" t="s">
        <v>26</v>
      </c>
      <c r="R61" s="3">
        <v>0</v>
      </c>
      <c r="S61" s="3">
        <v>0</v>
      </c>
      <c r="T61" s="3">
        <v>14</v>
      </c>
      <c r="U61" s="3">
        <v>68</v>
      </c>
      <c r="V61" s="4">
        <f>IF(ISERROR(VLOOKUP($S$61,'TAR FIN'!$A$1:$O$88,15,0)),0,VLOOKUP($S$61,'TAR FIN'!$A$1:$O$88,15,0))</f>
        <v>0</v>
      </c>
      <c r="W61" s="4">
        <f>IF(ISERROR(VLOOKUP($T$61,'TAR FIN'!$A$1:$O$88,15,0)),0,VLOOKUP($T$61,'TAR FIN'!$A$1:$O$88,15,0))</f>
        <v>244.85</v>
      </c>
      <c r="X61" s="4">
        <f>IF(ISERROR(VLOOKUP($U$61,'TAR FIN'!$A$1:$O$88,15,0)),0,VLOOKUP($U$61,'TAR FIN'!$A$1:$O$88,15,0))</f>
        <v>99.12</v>
      </c>
      <c r="Y61" s="4"/>
      <c r="Z61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61" s="4">
        <f>('TE BE'!$AB$12+'TE BF'!$AB$12+'TE CVA'!$AB$12)*(1-CUSTOS!$M$35)</f>
        <v>92.374448370737383</v>
      </c>
      <c r="AB61" s="4">
        <f t="shared" si="2"/>
        <v>0</v>
      </c>
      <c r="AC61" s="4">
        <f>(L61-M61)*(W61+X61)+($W$75+$X$75-$W$61-$X$61)*(L61)</f>
        <v>4267.8745199999994</v>
      </c>
      <c r="AD61" s="4">
        <f t="shared" si="4"/>
        <v>0</v>
      </c>
      <c r="AE61" s="4">
        <f ca="1">(L61-M61)*(Z61+AA61)+($Z$75+$AA$75-$Z$61-$AA$61)*(L61)</f>
        <v>4296.8664142719117</v>
      </c>
      <c r="AF61" s="3" t="s">
        <v>550</v>
      </c>
    </row>
    <row r="62" spans="1:32" ht="11.25" customHeight="1" x14ac:dyDescent="0.25">
      <c r="A62" s="3" t="s">
        <v>21</v>
      </c>
      <c r="B62" s="3" t="s">
        <v>22</v>
      </c>
      <c r="C62" s="3" t="s">
        <v>23</v>
      </c>
      <c r="D62" s="3" t="s">
        <v>24</v>
      </c>
      <c r="E62" s="3" t="s">
        <v>30</v>
      </c>
      <c r="F62" s="3" t="s">
        <v>25</v>
      </c>
      <c r="G62" s="3" t="s">
        <v>25</v>
      </c>
      <c r="H62" s="3" t="s">
        <v>25</v>
      </c>
      <c r="I62" s="6">
        <v>44774</v>
      </c>
      <c r="J62" s="4">
        <v>0</v>
      </c>
      <c r="K62" s="4">
        <v>0</v>
      </c>
      <c r="L62" s="4">
        <v>19.117999999999999</v>
      </c>
      <c r="M62" s="4">
        <v>19.117999999999999</v>
      </c>
      <c r="N62" s="4">
        <v>19.117999999999999</v>
      </c>
      <c r="O62" s="4">
        <v>19.117999999999999</v>
      </c>
      <c r="P62" s="4">
        <v>68</v>
      </c>
      <c r="Q62" s="3" t="s">
        <v>26</v>
      </c>
      <c r="R62" s="3">
        <v>0</v>
      </c>
      <c r="S62" s="3">
        <v>0</v>
      </c>
      <c r="T62" s="3">
        <v>14</v>
      </c>
      <c r="U62" s="3">
        <v>68</v>
      </c>
      <c r="V62" s="4">
        <f>IF(ISERROR(VLOOKUP($S$62,'TAR FIN'!$A$1:$O$88,15,0)),0,VLOOKUP($S$62,'TAR FIN'!$A$1:$O$88,15,0))</f>
        <v>0</v>
      </c>
      <c r="W62" s="4">
        <f>IF(ISERROR(VLOOKUP($T$62,'TAR FIN'!$A$1:$O$88,15,0)),0,VLOOKUP($T$62,'TAR FIN'!$A$1:$O$88,15,0))</f>
        <v>244.85</v>
      </c>
      <c r="X62" s="4">
        <f>IF(ISERROR(VLOOKUP($U$62,'TAR FIN'!$A$1:$O$88,15,0)),0,VLOOKUP($U$62,'TAR FIN'!$A$1:$O$88,15,0))</f>
        <v>99.12</v>
      </c>
      <c r="Y62" s="4"/>
      <c r="Z62" s="4">
        <f ca="1">('TUSD BE'!$AM$22+'TUSD BF'!$AM$22+'TUSD CVA'!$AM$22-('TUSD BE'!$P$22+'TUSD BF'!$P$22+'TUSD CVA'!$P$22)-('TUSD BE'!$Q$22+'TUSD BF'!$Q$22+'TUSD CVA'!$Q$22)-('TUSD BE'!$R$22+'TUSD BF'!$R$22+'TUSD CVA'!$R$22))*(1-CUSTOS!$M$35)</f>
        <v>253.94222571490377</v>
      </c>
      <c r="AA62" s="4">
        <f>('TE BE'!$AB$12+'TE BF'!$AB$12+'TE CVA'!$AB$12)*(1-CUSTOS!$M$35)</f>
        <v>92.374448370737383</v>
      </c>
      <c r="AB62" s="4">
        <f t="shared" si="2"/>
        <v>0</v>
      </c>
      <c r="AC62" s="4">
        <f>(L62-M62)*(W62+X62)+($W$75+$X$75-$W$62-$X$62)*(L62)</f>
        <v>4384.1397599999982</v>
      </c>
      <c r="AD62" s="4">
        <f t="shared" si="4"/>
        <v>0</v>
      </c>
      <c r="AE62" s="4">
        <f ca="1">(L62-M62)*(Z62+AA62)+($Z$75+$AA$75-$Z$62-$AA$62)*(L62)</f>
        <v>4413.9214501128581</v>
      </c>
      <c r="AF62" s="3" t="s">
        <v>550</v>
      </c>
    </row>
    <row r="63" spans="1:32" ht="11.25" customHeight="1" x14ac:dyDescent="0.25">
      <c r="A63" s="3" t="s">
        <v>21</v>
      </c>
      <c r="B63" s="3" t="s">
        <v>22</v>
      </c>
      <c r="C63" s="3" t="s">
        <v>23</v>
      </c>
      <c r="D63" s="3" t="s">
        <v>24</v>
      </c>
      <c r="E63" s="3" t="s">
        <v>31</v>
      </c>
      <c r="F63" s="3" t="s">
        <v>25</v>
      </c>
      <c r="G63" s="3" t="s">
        <v>25</v>
      </c>
      <c r="H63" s="3" t="s">
        <v>25</v>
      </c>
      <c r="I63" s="6">
        <v>44440</v>
      </c>
      <c r="J63" s="4">
        <v>0</v>
      </c>
      <c r="K63" s="4">
        <v>0</v>
      </c>
      <c r="L63" s="4">
        <v>12.941000000000001</v>
      </c>
      <c r="M63" s="4">
        <v>12.941000000000001</v>
      </c>
      <c r="N63" s="4">
        <v>12.941000000000001</v>
      </c>
      <c r="O63" s="4">
        <v>12.941000000000001</v>
      </c>
      <c r="P63" s="4">
        <v>91</v>
      </c>
      <c r="Q63" s="3" t="s">
        <v>26</v>
      </c>
      <c r="R63" s="3">
        <v>0</v>
      </c>
      <c r="S63" s="3">
        <v>0</v>
      </c>
      <c r="T63" s="3">
        <v>12</v>
      </c>
      <c r="U63" s="3">
        <v>64</v>
      </c>
      <c r="V63" s="4">
        <f>IF(ISERROR(VLOOKUP($S$63,'TAR FIN'!$A$1:$O$88,15,0)),0,VLOOKUP($S$63,'TAR FIN'!$A$1:$O$88,15,0))</f>
        <v>0</v>
      </c>
      <c r="W63" s="4">
        <f>IF(ISERROR(VLOOKUP($T$63,'TAR FIN'!$A$1:$O$88,15,0)),0,VLOOKUP($T$63,'TAR FIN'!$A$1:$O$88,15,0))</f>
        <v>367.27</v>
      </c>
      <c r="X63" s="4">
        <f>IF(ISERROR(VLOOKUP($U$63,'TAR FIN'!$A$1:$O$88,15,0)),0,VLOOKUP($U$63,'TAR FIN'!$A$1:$O$88,15,0))</f>
        <v>148.69</v>
      </c>
      <c r="Y63" s="4"/>
      <c r="Z63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63" s="4">
        <f>('TE BE'!$AB$13+'TE BF'!$AB$13+'TE CVA'!$AB$13)*(1-CUSTOS!$M$36)</f>
        <v>138.56167255610609</v>
      </c>
      <c r="AB63" s="4">
        <f t="shared" si="2"/>
        <v>0</v>
      </c>
      <c r="AC63" s="4">
        <f>(L63-M63)*(W63+X63)+($W$75+$X$75-$W$63-$X$63)*(L63)</f>
        <v>741.90752999999984</v>
      </c>
      <c r="AD63" s="4">
        <f t="shared" si="4"/>
        <v>0</v>
      </c>
      <c r="AE63" s="4">
        <f ca="1">(L63-M63)*(Z63+AA63)+($Z$75+$AA$75-$Z$63-$AA$63)*(L63)</f>
        <v>746.94734655704679</v>
      </c>
      <c r="AF63" s="3" t="s">
        <v>550</v>
      </c>
    </row>
    <row r="64" spans="1:32" ht="11.25" customHeight="1" x14ac:dyDescent="0.25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31</v>
      </c>
      <c r="F64" s="3" t="s">
        <v>25</v>
      </c>
      <c r="G64" s="3" t="s">
        <v>25</v>
      </c>
      <c r="H64" s="3" t="s">
        <v>25</v>
      </c>
      <c r="I64" s="6">
        <v>44470</v>
      </c>
      <c r="J64" s="4">
        <v>0</v>
      </c>
      <c r="K64" s="4">
        <v>0</v>
      </c>
      <c r="L64" s="4">
        <v>10.238</v>
      </c>
      <c r="M64" s="4">
        <v>10.238</v>
      </c>
      <c r="N64" s="4">
        <v>10.238</v>
      </c>
      <c r="O64" s="4">
        <v>10.238</v>
      </c>
      <c r="P64" s="4">
        <v>104</v>
      </c>
      <c r="Q64" s="3" t="s">
        <v>26</v>
      </c>
      <c r="R64" s="3">
        <v>0</v>
      </c>
      <c r="S64" s="3">
        <v>0</v>
      </c>
      <c r="T64" s="3">
        <v>12</v>
      </c>
      <c r="U64" s="3">
        <v>64</v>
      </c>
      <c r="V64" s="4">
        <f>IF(ISERROR(VLOOKUP($S$64,'TAR FIN'!$A$1:$O$88,15,0)),0,VLOOKUP($S$64,'TAR FIN'!$A$1:$O$88,15,0))</f>
        <v>0</v>
      </c>
      <c r="W64" s="4">
        <f>IF(ISERROR(VLOOKUP($T$64,'TAR FIN'!$A$1:$O$88,15,0)),0,VLOOKUP($T$64,'TAR FIN'!$A$1:$O$88,15,0))</f>
        <v>367.27</v>
      </c>
      <c r="X64" s="4">
        <f>IF(ISERROR(VLOOKUP($U$64,'TAR FIN'!$A$1:$O$88,15,0)),0,VLOOKUP($U$64,'TAR FIN'!$A$1:$O$88,15,0))</f>
        <v>148.69</v>
      </c>
      <c r="Y64" s="4"/>
      <c r="Z64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64" s="4">
        <f>('TE BE'!$AB$13+'TE BF'!$AB$13+'TE CVA'!$AB$13)*(1-CUSTOS!$M$36)</f>
        <v>138.56167255610609</v>
      </c>
      <c r="AB64" s="4">
        <f t="shared" si="2"/>
        <v>0</v>
      </c>
      <c r="AC64" s="4">
        <f>(L64-M64)*(W64+X64)+($W$75+$X$75-$W$64-$X$64)*(L64)</f>
        <v>586.94453999999985</v>
      </c>
      <c r="AD64" s="4">
        <f t="shared" si="4"/>
        <v>0</v>
      </c>
      <c r="AE64" s="4">
        <f ca="1">(L64-M64)*(Z64+AA64)+($Z$75+$AA$75-$Z$64-$AA$64)*(L64)</f>
        <v>590.93168488146546</v>
      </c>
      <c r="AF64" s="3" t="s">
        <v>550</v>
      </c>
    </row>
    <row r="65" spans="1:32" ht="11.25" customHeight="1" x14ac:dyDescent="0.25">
      <c r="A65" s="3" t="s">
        <v>21</v>
      </c>
      <c r="B65" s="3" t="s">
        <v>22</v>
      </c>
      <c r="C65" s="3" t="s">
        <v>23</v>
      </c>
      <c r="D65" s="3" t="s">
        <v>24</v>
      </c>
      <c r="E65" s="3" t="s">
        <v>31</v>
      </c>
      <c r="F65" s="3" t="s">
        <v>25</v>
      </c>
      <c r="G65" s="3" t="s">
        <v>25</v>
      </c>
      <c r="H65" s="3" t="s">
        <v>25</v>
      </c>
      <c r="I65" s="6">
        <v>44501</v>
      </c>
      <c r="J65" s="4">
        <v>0</v>
      </c>
      <c r="K65" s="4">
        <v>0</v>
      </c>
      <c r="L65" s="4">
        <v>12.458</v>
      </c>
      <c r="M65" s="4">
        <v>12.458</v>
      </c>
      <c r="N65" s="4">
        <v>12.458</v>
      </c>
      <c r="O65" s="4">
        <v>12.458</v>
      </c>
      <c r="P65" s="4">
        <v>105</v>
      </c>
      <c r="Q65" s="3" t="s">
        <v>26</v>
      </c>
      <c r="R65" s="3">
        <v>0</v>
      </c>
      <c r="S65" s="3">
        <v>0</v>
      </c>
      <c r="T65" s="3">
        <v>12</v>
      </c>
      <c r="U65" s="3">
        <v>64</v>
      </c>
      <c r="V65" s="4">
        <f>IF(ISERROR(VLOOKUP($S$65,'TAR FIN'!$A$1:$O$88,15,0)),0,VLOOKUP($S$65,'TAR FIN'!$A$1:$O$88,15,0))</f>
        <v>0</v>
      </c>
      <c r="W65" s="4">
        <f>IF(ISERROR(VLOOKUP($T$65,'TAR FIN'!$A$1:$O$88,15,0)),0,VLOOKUP($T$65,'TAR FIN'!$A$1:$O$88,15,0))</f>
        <v>367.27</v>
      </c>
      <c r="X65" s="4">
        <f>IF(ISERROR(VLOOKUP($U$65,'TAR FIN'!$A$1:$O$88,15,0)),0,VLOOKUP($U$65,'TAR FIN'!$A$1:$O$88,15,0))</f>
        <v>148.69</v>
      </c>
      <c r="Y65" s="4"/>
      <c r="Z65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65" s="4">
        <f>('TE BE'!$AB$13+'TE BF'!$AB$13+'TE CVA'!$AB$13)*(1-CUSTOS!$M$36)</f>
        <v>138.56167255610609</v>
      </c>
      <c r="AB65" s="4">
        <f t="shared" si="2"/>
        <v>0</v>
      </c>
      <c r="AC65" s="4">
        <f>(L65-M65)*(W65+X65)+($W$75+$X$75-$W$65-$X$65)*(L65)</f>
        <v>714.21713999999986</v>
      </c>
      <c r="AD65" s="4">
        <f t="shared" si="4"/>
        <v>0</v>
      </c>
      <c r="AE65" s="4">
        <f ca="1">(L65-M65)*(Z65+AA65)+($Z$75+$AA$75-$Z$65-$AA$65)*(L65)</f>
        <v>719.06885429315264</v>
      </c>
      <c r="AF65" s="3" t="s">
        <v>550</v>
      </c>
    </row>
    <row r="66" spans="1:32" ht="11.25" customHeight="1" x14ac:dyDescent="0.25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31</v>
      </c>
      <c r="F66" s="3" t="s">
        <v>25</v>
      </c>
      <c r="G66" s="3" t="s">
        <v>25</v>
      </c>
      <c r="H66" s="3" t="s">
        <v>25</v>
      </c>
      <c r="I66" s="6">
        <v>44531</v>
      </c>
      <c r="J66" s="4">
        <v>0</v>
      </c>
      <c r="K66" s="4">
        <v>0</v>
      </c>
      <c r="L66" s="4">
        <v>15.427</v>
      </c>
      <c r="M66" s="4">
        <v>15.427</v>
      </c>
      <c r="N66" s="4">
        <v>15.427</v>
      </c>
      <c r="O66" s="4">
        <v>15.427</v>
      </c>
      <c r="P66" s="4">
        <v>97</v>
      </c>
      <c r="Q66" s="3" t="s">
        <v>26</v>
      </c>
      <c r="R66" s="3">
        <v>0</v>
      </c>
      <c r="S66" s="3">
        <v>0</v>
      </c>
      <c r="T66" s="3">
        <v>12</v>
      </c>
      <c r="U66" s="3">
        <v>64</v>
      </c>
      <c r="V66" s="4">
        <f>IF(ISERROR(VLOOKUP($S$66,'TAR FIN'!$A$1:$O$88,15,0)),0,VLOOKUP($S$66,'TAR FIN'!$A$1:$O$88,15,0))</f>
        <v>0</v>
      </c>
      <c r="W66" s="4">
        <f>IF(ISERROR(VLOOKUP($T$66,'TAR FIN'!$A$1:$O$88,15,0)),0,VLOOKUP($T$66,'TAR FIN'!$A$1:$O$88,15,0))</f>
        <v>367.27</v>
      </c>
      <c r="X66" s="4">
        <f>IF(ISERROR(VLOOKUP($U$66,'TAR FIN'!$A$1:$O$88,15,0)),0,VLOOKUP($U$66,'TAR FIN'!$A$1:$O$88,15,0))</f>
        <v>148.69</v>
      </c>
      <c r="Y66" s="4"/>
      <c r="Z66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66" s="4">
        <f>('TE BE'!$AB$13+'TE BF'!$AB$13+'TE CVA'!$AB$13)*(1-CUSTOS!$M$36)</f>
        <v>138.56167255610609</v>
      </c>
      <c r="AB66" s="4">
        <f t="shared" ref="AB66:AB97" si="6">(J66-K66)*V66</f>
        <v>0</v>
      </c>
      <c r="AC66" s="4">
        <f>(L66-M66)*(W66+X66)+($W$75+$X$75-$W$66-$X$66)*(L66)</f>
        <v>884.42990999999972</v>
      </c>
      <c r="AD66" s="4">
        <f t="shared" ref="AD66:AD97" si="7">(J66-K66)*Y66</f>
        <v>0</v>
      </c>
      <c r="AE66" s="4">
        <f ca="1">(L66-M66)*(Z66+AA66)+($Z$75+$AA$75-$Z$66-$AA$66)*(L66)</f>
        <v>890.43788851986392</v>
      </c>
      <c r="AF66" s="3" t="s">
        <v>550</v>
      </c>
    </row>
    <row r="67" spans="1:32" ht="11.25" customHeight="1" x14ac:dyDescent="0.25">
      <c r="A67" s="3" t="s">
        <v>21</v>
      </c>
      <c r="B67" s="3" t="s">
        <v>22</v>
      </c>
      <c r="C67" s="3" t="s">
        <v>23</v>
      </c>
      <c r="D67" s="3" t="s">
        <v>24</v>
      </c>
      <c r="E67" s="3" t="s">
        <v>31</v>
      </c>
      <c r="F67" s="3" t="s">
        <v>25</v>
      </c>
      <c r="G67" s="3" t="s">
        <v>25</v>
      </c>
      <c r="H67" s="3" t="s">
        <v>25</v>
      </c>
      <c r="I67" s="6">
        <v>44562</v>
      </c>
      <c r="J67" s="4">
        <v>0</v>
      </c>
      <c r="K67" s="4">
        <v>0</v>
      </c>
      <c r="L67" s="4">
        <v>16.670999999999999</v>
      </c>
      <c r="M67" s="4">
        <v>16.670999999999999</v>
      </c>
      <c r="N67" s="4">
        <v>16.670999999999999</v>
      </c>
      <c r="O67" s="4">
        <v>16.670999999999999</v>
      </c>
      <c r="P67" s="4">
        <v>93</v>
      </c>
      <c r="Q67" s="3" t="s">
        <v>26</v>
      </c>
      <c r="R67" s="3">
        <v>0</v>
      </c>
      <c r="S67" s="3">
        <v>0</v>
      </c>
      <c r="T67" s="3">
        <v>12</v>
      </c>
      <c r="U67" s="3">
        <v>64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367.27</v>
      </c>
      <c r="X67" s="4">
        <f>IF(ISERROR(VLOOKUP($U$67,'TAR FIN'!$A$1:$O$88,15,0)),0,VLOOKUP($U$67,'TAR FIN'!$A$1:$O$88,15,0))</f>
        <v>148.69</v>
      </c>
      <c r="Y67" s="4"/>
      <c r="Z67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67" s="4">
        <f>('TE BE'!$AB$13+'TE BF'!$AB$13+'TE CVA'!$AB$13)*(1-CUSTOS!$M$36)</f>
        <v>138.56167255610609</v>
      </c>
      <c r="AB67" s="4">
        <f t="shared" si="6"/>
        <v>0</v>
      </c>
      <c r="AC67" s="4">
        <f>(L67-M67)*(W67+X67)+($W$75+$X$75-$W$67-$X$67)*(L67)</f>
        <v>955.74842999999964</v>
      </c>
      <c r="AD67" s="4">
        <f t="shared" si="7"/>
        <v>0</v>
      </c>
      <c r="AE67" s="4">
        <f ca="1">(L67-M67)*(Z67+AA67)+($Z$75+$AA$75-$Z$67-$AA$67)*(L67)</f>
        <v>962.24087894695356</v>
      </c>
      <c r="AF67" s="3" t="s">
        <v>550</v>
      </c>
    </row>
    <row r="68" spans="1:32" ht="11.25" customHeight="1" x14ac:dyDescent="0.25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31</v>
      </c>
      <c r="F68" s="3" t="s">
        <v>25</v>
      </c>
      <c r="G68" s="3" t="s">
        <v>25</v>
      </c>
      <c r="H68" s="3" t="s">
        <v>25</v>
      </c>
      <c r="I68" s="6">
        <v>44593</v>
      </c>
      <c r="J68" s="4">
        <v>0</v>
      </c>
      <c r="K68" s="4">
        <v>0</v>
      </c>
      <c r="L68" s="4">
        <v>26.309000000000001</v>
      </c>
      <c r="M68" s="4">
        <v>26.309000000000001</v>
      </c>
      <c r="N68" s="4">
        <v>26.309000000000001</v>
      </c>
      <c r="O68" s="4">
        <v>26.309000000000001</v>
      </c>
      <c r="P68" s="4">
        <v>192</v>
      </c>
      <c r="Q68" s="3" t="s">
        <v>26</v>
      </c>
      <c r="R68" s="3">
        <v>0</v>
      </c>
      <c r="S68" s="3">
        <v>0</v>
      </c>
      <c r="T68" s="3">
        <v>12</v>
      </c>
      <c r="U68" s="3">
        <v>64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367.27</v>
      </c>
      <c r="X68" s="4">
        <f>IF(ISERROR(VLOOKUP($U$68,'TAR FIN'!$A$1:$O$88,15,0)),0,VLOOKUP($U$68,'TAR FIN'!$A$1:$O$88,15,0))</f>
        <v>148.69</v>
      </c>
      <c r="Y68" s="4"/>
      <c r="Z68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68" s="4">
        <f>('TE BE'!$AB$13+'TE BF'!$AB$13+'TE CVA'!$AB$13)*(1-CUSTOS!$M$36)</f>
        <v>138.56167255610609</v>
      </c>
      <c r="AB68" s="4">
        <f t="shared" si="6"/>
        <v>0</v>
      </c>
      <c r="AC68" s="4">
        <f>(L68-M68)*(W68+X68)+($W$75+$X$75-$W$68-$X$68)*(L68)</f>
        <v>1508.2949699999997</v>
      </c>
      <c r="AD68" s="4">
        <f t="shared" si="7"/>
        <v>0</v>
      </c>
      <c r="AE68" s="4">
        <f ca="1">(L68-M68)*(Z68+AA68)+($Z$75+$AA$75-$Z$68-$AA$68)*(L68)</f>
        <v>1518.540896419855</v>
      </c>
      <c r="AF68" s="3" t="s">
        <v>550</v>
      </c>
    </row>
    <row r="69" spans="1:32" ht="11.25" customHeight="1" x14ac:dyDescent="0.25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31</v>
      </c>
      <c r="F69" s="3" t="s">
        <v>25</v>
      </c>
      <c r="G69" s="3" t="s">
        <v>25</v>
      </c>
      <c r="H69" s="3" t="s">
        <v>25</v>
      </c>
      <c r="I69" s="6">
        <v>44621</v>
      </c>
      <c r="J69" s="4">
        <v>0</v>
      </c>
      <c r="K69" s="4">
        <v>0</v>
      </c>
      <c r="L69" s="4">
        <v>28.52</v>
      </c>
      <c r="M69" s="4">
        <v>28.52</v>
      </c>
      <c r="N69" s="4">
        <v>28.52</v>
      </c>
      <c r="O69" s="4">
        <v>28.52</v>
      </c>
      <c r="P69" s="4">
        <v>197</v>
      </c>
      <c r="Q69" s="3" t="s">
        <v>26</v>
      </c>
      <c r="R69" s="3">
        <v>0</v>
      </c>
      <c r="S69" s="3">
        <v>0</v>
      </c>
      <c r="T69" s="3">
        <v>12</v>
      </c>
      <c r="U69" s="3">
        <v>64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367.27</v>
      </c>
      <c r="X69" s="4">
        <f>IF(ISERROR(VLOOKUP($U$69,'TAR FIN'!$A$1:$O$88,15,0)),0,VLOOKUP($U$69,'TAR FIN'!$A$1:$O$88,15,0))</f>
        <v>148.69</v>
      </c>
      <c r="Y69" s="4"/>
      <c r="Z69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69" s="4">
        <f>('TE BE'!$AB$13+'TE BF'!$AB$13+'TE CVA'!$AB$13)*(1-CUSTOS!$M$36)</f>
        <v>138.56167255610609</v>
      </c>
      <c r="AB69" s="4">
        <f t="shared" si="6"/>
        <v>0</v>
      </c>
      <c r="AC69" s="4">
        <f>(L69-M69)*(W69+X69)+($W$75+$X$75-$W$69-$X$69)*(L69)</f>
        <v>1635.0515999999996</v>
      </c>
      <c r="AD69" s="4">
        <f t="shared" si="7"/>
        <v>0</v>
      </c>
      <c r="AE69" s="4">
        <f ca="1">(L69-M69)*(Z69+AA69)+($Z$75+$AA$75-$Z$69-$AA$69)*(L69)</f>
        <v>1646.1585908204136</v>
      </c>
      <c r="AF69" s="3" t="s">
        <v>550</v>
      </c>
    </row>
    <row r="70" spans="1:32" ht="11.25" customHeight="1" x14ac:dyDescent="0.25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31</v>
      </c>
      <c r="F70" s="3" t="s">
        <v>25</v>
      </c>
      <c r="G70" s="3" t="s">
        <v>25</v>
      </c>
      <c r="H70" s="3" t="s">
        <v>25</v>
      </c>
      <c r="I70" s="6">
        <v>44652</v>
      </c>
      <c r="J70" s="4">
        <v>0</v>
      </c>
      <c r="K70" s="4">
        <v>0</v>
      </c>
      <c r="L70" s="4">
        <v>26.978999999999999</v>
      </c>
      <c r="M70" s="4">
        <v>26.978999999999999</v>
      </c>
      <c r="N70" s="4">
        <v>26.978999999999999</v>
      </c>
      <c r="O70" s="4">
        <v>26.978999999999999</v>
      </c>
      <c r="P70" s="4">
        <v>199</v>
      </c>
      <c r="Q70" s="3" t="s">
        <v>26</v>
      </c>
      <c r="R70" s="3">
        <v>0</v>
      </c>
      <c r="S70" s="3">
        <v>0</v>
      </c>
      <c r="T70" s="3">
        <v>12</v>
      </c>
      <c r="U70" s="3">
        <v>64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367.27</v>
      </c>
      <c r="X70" s="4">
        <f>IF(ISERROR(VLOOKUP($U$70,'TAR FIN'!$A$1:$O$88,15,0)),0,VLOOKUP($U$70,'TAR FIN'!$A$1:$O$88,15,0))</f>
        <v>148.69</v>
      </c>
      <c r="Y70" s="4"/>
      <c r="Z70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70" s="4">
        <f>('TE BE'!$AB$13+'TE BF'!$AB$13+'TE CVA'!$AB$13)*(1-CUSTOS!$M$36)</f>
        <v>138.56167255610609</v>
      </c>
      <c r="AB70" s="4">
        <f t="shared" si="6"/>
        <v>0</v>
      </c>
      <c r="AC70" s="4">
        <f>(L70-M70)*(W70+X70)+($W$75+$X$75-$W$70-$X$70)*(L70)</f>
        <v>1546.7060699999995</v>
      </c>
      <c r="AD70" s="4">
        <f t="shared" si="7"/>
        <v>0</v>
      </c>
      <c r="AE70" s="4">
        <f ca="1">(L70-M70)*(Z70+AA70)+($Z$75+$AA$75-$Z$70-$AA$70)*(L70)</f>
        <v>1557.2129250260848</v>
      </c>
      <c r="AF70" s="3" t="s">
        <v>550</v>
      </c>
    </row>
    <row r="71" spans="1:32" ht="11.25" customHeight="1" x14ac:dyDescent="0.25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31</v>
      </c>
      <c r="F71" s="3" t="s">
        <v>25</v>
      </c>
      <c r="G71" s="3" t="s">
        <v>25</v>
      </c>
      <c r="H71" s="3" t="s">
        <v>25</v>
      </c>
      <c r="I71" s="6">
        <v>44682</v>
      </c>
      <c r="J71" s="4">
        <v>0</v>
      </c>
      <c r="K71" s="4">
        <v>0</v>
      </c>
      <c r="L71" s="4">
        <v>22.402999999999999</v>
      </c>
      <c r="M71" s="4">
        <v>22.402999999999999</v>
      </c>
      <c r="N71" s="4">
        <v>22.402999999999999</v>
      </c>
      <c r="O71" s="4">
        <v>22.402999999999999</v>
      </c>
      <c r="P71" s="4">
        <v>215</v>
      </c>
      <c r="Q71" s="3" t="s">
        <v>26</v>
      </c>
      <c r="R71" s="3">
        <v>0</v>
      </c>
      <c r="S71" s="3">
        <v>0</v>
      </c>
      <c r="T71" s="3">
        <v>12</v>
      </c>
      <c r="U71" s="3">
        <v>64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367.27</v>
      </c>
      <c r="X71" s="4">
        <f>IF(ISERROR(VLOOKUP($U$71,'TAR FIN'!$A$1:$O$88,15,0)),0,VLOOKUP($U$71,'TAR FIN'!$A$1:$O$88,15,0))</f>
        <v>148.69</v>
      </c>
      <c r="Y71" s="4"/>
      <c r="Z71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71" s="4">
        <f>('TE BE'!$AB$13+'TE BF'!$AB$13+'TE CVA'!$AB$13)*(1-CUSTOS!$M$36)</f>
        <v>138.56167255610609</v>
      </c>
      <c r="AB71" s="4">
        <f t="shared" si="6"/>
        <v>0</v>
      </c>
      <c r="AC71" s="4">
        <f>(L71-M71)*(W71+X71)+($W$75+$X$75-$W$71-$X$71)*(L71)</f>
        <v>1284.3639899999996</v>
      </c>
      <c r="AD71" s="4">
        <f t="shared" si="7"/>
        <v>0</v>
      </c>
      <c r="AE71" s="4">
        <f ca="1">(L71-M71)*(Z71+AA71)+($Z$75+$AA$75-$Z$71-$AA$71)*(L71)</f>
        <v>1293.0887415901025</v>
      </c>
      <c r="AF71" s="3" t="s">
        <v>550</v>
      </c>
    </row>
    <row r="72" spans="1:32" ht="11.25" customHeight="1" x14ac:dyDescent="0.25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31</v>
      </c>
      <c r="F72" s="3" t="s">
        <v>25</v>
      </c>
      <c r="G72" s="3" t="s">
        <v>25</v>
      </c>
      <c r="H72" s="3" t="s">
        <v>25</v>
      </c>
      <c r="I72" s="6">
        <v>44713</v>
      </c>
      <c r="J72" s="4">
        <v>0</v>
      </c>
      <c r="K72" s="4">
        <v>0</v>
      </c>
      <c r="L72" s="4">
        <v>22.442</v>
      </c>
      <c r="M72" s="4">
        <v>22.442</v>
      </c>
      <c r="N72" s="4">
        <v>22.442</v>
      </c>
      <c r="O72" s="4">
        <v>22.442</v>
      </c>
      <c r="P72" s="4">
        <v>151</v>
      </c>
      <c r="Q72" s="3" t="s">
        <v>26</v>
      </c>
      <c r="R72" s="3">
        <v>0</v>
      </c>
      <c r="S72" s="3">
        <v>0</v>
      </c>
      <c r="T72" s="3">
        <v>12</v>
      </c>
      <c r="U72" s="3">
        <v>64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367.27</v>
      </c>
      <c r="X72" s="4">
        <f>IF(ISERROR(VLOOKUP($U$72,'TAR FIN'!$A$1:$O$88,15,0)),0,VLOOKUP($U$72,'TAR FIN'!$A$1:$O$88,15,0))</f>
        <v>148.69</v>
      </c>
      <c r="Y72" s="4"/>
      <c r="Z72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72" s="4">
        <f>('TE BE'!$AB$13+'TE BF'!$AB$13+'TE CVA'!$AB$13)*(1-CUSTOS!$M$36)</f>
        <v>138.56167255610609</v>
      </c>
      <c r="AB72" s="4">
        <f t="shared" si="6"/>
        <v>0</v>
      </c>
      <c r="AC72" s="4">
        <f>(L72-M72)*(W72+X72)+($W$75+$X$75-$W$72-$X$72)*(L72)</f>
        <v>1286.5998599999996</v>
      </c>
      <c r="AD72" s="4">
        <f t="shared" si="7"/>
        <v>0</v>
      </c>
      <c r="AE72" s="4">
        <f ca="1">(L72-M72)*(Z72+AA72)+($Z$75+$AA$75-$Z$72-$AA$72)*(L72)</f>
        <v>1295.3397999716592</v>
      </c>
      <c r="AF72" s="3" t="s">
        <v>550</v>
      </c>
    </row>
    <row r="73" spans="1:32" ht="11.25" customHeight="1" x14ac:dyDescent="0.25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31</v>
      </c>
      <c r="F73" s="3" t="s">
        <v>25</v>
      </c>
      <c r="G73" s="3" t="s">
        <v>25</v>
      </c>
      <c r="H73" s="3" t="s">
        <v>25</v>
      </c>
      <c r="I73" s="6">
        <v>44743</v>
      </c>
      <c r="J73" s="4">
        <v>0</v>
      </c>
      <c r="K73" s="4">
        <v>0</v>
      </c>
      <c r="L73" s="4">
        <v>16.286000000000001</v>
      </c>
      <c r="M73" s="4">
        <v>16.286000000000001</v>
      </c>
      <c r="N73" s="4">
        <v>16.286000000000001</v>
      </c>
      <c r="O73" s="4">
        <v>16.286000000000001</v>
      </c>
      <c r="P73" s="4">
        <v>159</v>
      </c>
      <c r="Q73" s="3" t="s">
        <v>26</v>
      </c>
      <c r="R73" s="3">
        <v>0</v>
      </c>
      <c r="S73" s="3">
        <v>0</v>
      </c>
      <c r="T73" s="3">
        <v>12</v>
      </c>
      <c r="U73" s="3">
        <v>64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367.27</v>
      </c>
      <c r="X73" s="4">
        <f>IF(ISERROR(VLOOKUP($U$73,'TAR FIN'!$A$1:$O$88,15,0)),0,VLOOKUP($U$73,'TAR FIN'!$A$1:$O$88,15,0))</f>
        <v>148.69</v>
      </c>
      <c r="Y73" s="4"/>
      <c r="Z73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73" s="4">
        <f>('TE BE'!$AB$13+'TE BF'!$AB$13+'TE CVA'!$AB$13)*(1-CUSTOS!$M$36)</f>
        <v>138.56167255610609</v>
      </c>
      <c r="AB73" s="4">
        <f t="shared" si="6"/>
        <v>0</v>
      </c>
      <c r="AC73" s="4">
        <f>(L73-M73)*(W73+X73)+($W$75+$X$75-$W$73-$X$73)*(L73)</f>
        <v>933.67637999999977</v>
      </c>
      <c r="AD73" s="4">
        <f t="shared" si="7"/>
        <v>0</v>
      </c>
      <c r="AE73" s="4">
        <f ca="1">(L73-M73)*(Z73+AA73)+($Z$75+$AA$75-$Z$73-$AA$73)*(L73)</f>
        <v>940.01889235979172</v>
      </c>
      <c r="AF73" s="3" t="s">
        <v>550</v>
      </c>
    </row>
    <row r="74" spans="1:32" ht="11.25" customHeight="1" x14ac:dyDescent="0.25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31</v>
      </c>
      <c r="F74" s="3" t="s">
        <v>25</v>
      </c>
      <c r="G74" s="3" t="s">
        <v>25</v>
      </c>
      <c r="H74" s="3" t="s">
        <v>25</v>
      </c>
      <c r="I74" s="6">
        <v>44774</v>
      </c>
      <c r="J74" s="4">
        <v>0</v>
      </c>
      <c r="K74" s="4">
        <v>0</v>
      </c>
      <c r="L74" s="4">
        <v>18.670999999999999</v>
      </c>
      <c r="M74" s="4">
        <v>18.670999999999999</v>
      </c>
      <c r="N74" s="4">
        <v>18.670999999999999</v>
      </c>
      <c r="O74" s="4">
        <v>18.670999999999999</v>
      </c>
      <c r="P74" s="4">
        <v>162</v>
      </c>
      <c r="Q74" s="3" t="s">
        <v>26</v>
      </c>
      <c r="R74" s="3">
        <v>0</v>
      </c>
      <c r="S74" s="3">
        <v>0</v>
      </c>
      <c r="T74" s="3">
        <v>12</v>
      </c>
      <c r="U74" s="3">
        <v>64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367.27</v>
      </c>
      <c r="X74" s="4">
        <f>IF(ISERROR(VLOOKUP($U$74,'TAR FIN'!$A$1:$O$88,15,0)),0,VLOOKUP($U$74,'TAR FIN'!$A$1:$O$88,15,0))</f>
        <v>148.69</v>
      </c>
      <c r="Y74" s="4"/>
      <c r="Z74" s="4">
        <f ca="1">('TUSD BE'!$AM$23+'TUSD BF'!$AM$23+'TUSD CVA'!$AM$23-('TUSD BE'!$P$23+'TUSD BF'!$P$23+'TUSD CVA'!$P$23)-('TUSD BE'!$Q$23+'TUSD BF'!$Q$23+'TUSD CVA'!$Q$23)-('TUSD BE'!$R$23+'TUSD BF'!$R$23+'TUSD CVA'!$R$23))*(1-CUSTOS!$M$36)</f>
        <v>380.91333857235566</v>
      </c>
      <c r="AA74" s="4">
        <f>('TE BE'!$AB$13+'TE BF'!$AB$13+'TE CVA'!$AB$13)*(1-CUSTOS!$M$36)</f>
        <v>138.56167255610609</v>
      </c>
      <c r="AB74" s="4">
        <f t="shared" si="6"/>
        <v>0</v>
      </c>
      <c r="AC74" s="4">
        <f>(L74-M74)*(W74+X74)+($W$75+$X$75-$W$74-$X$74)*(L74)</f>
        <v>1070.4084299999997</v>
      </c>
      <c r="AD74" s="4">
        <f t="shared" si="7"/>
        <v>0</v>
      </c>
      <c r="AE74" s="4">
        <f ca="1">(L74-M74)*(Z74+AA74)+($Z$75+$AA$75-$Z$74-$AA$74)*(L74)</f>
        <v>1077.6797703088339</v>
      </c>
      <c r="AF74" s="3" t="s">
        <v>550</v>
      </c>
    </row>
    <row r="75" spans="1:32" ht="11.25" customHeight="1" x14ac:dyDescent="0.25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32</v>
      </c>
      <c r="F75" s="3" t="s">
        <v>25</v>
      </c>
      <c r="G75" s="3" t="s">
        <v>25</v>
      </c>
      <c r="H75" s="3" t="s">
        <v>25</v>
      </c>
      <c r="I75" s="6">
        <v>44440</v>
      </c>
      <c r="J75" s="4">
        <v>0</v>
      </c>
      <c r="K75" s="4">
        <v>0</v>
      </c>
      <c r="L75" s="4">
        <v>5.3769999999999998</v>
      </c>
      <c r="M75" s="4">
        <v>5.3769999999999998</v>
      </c>
      <c r="N75" s="4">
        <v>5.3769999999999998</v>
      </c>
      <c r="O75" s="4">
        <v>5.3769999999999998</v>
      </c>
      <c r="P75" s="4">
        <v>68</v>
      </c>
      <c r="Q75" s="3" t="s">
        <v>26</v>
      </c>
      <c r="R75" s="3">
        <v>0</v>
      </c>
      <c r="S75" s="3">
        <v>0</v>
      </c>
      <c r="T75" s="3">
        <v>18</v>
      </c>
      <c r="U75" s="3">
        <v>80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408.08</v>
      </c>
      <c r="X75" s="4">
        <f>IF(ISERROR(VLOOKUP($U$75,'TAR FIN'!$A$1:$O$88,15,0)),0,VLOOKUP($U$75,'TAR FIN'!$A$1:$O$88,15,0))</f>
        <v>165.21</v>
      </c>
      <c r="Y75" s="4"/>
      <c r="Z75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75" s="4">
        <f>('TE BE'!$AB$14+'TE BF'!$AB$14+'TE CVA'!$AB$14)*(1-CUSTOS!$M$37)</f>
        <v>153.95741395122897</v>
      </c>
      <c r="AB75" s="4">
        <f t="shared" si="6"/>
        <v>0</v>
      </c>
      <c r="AC75" s="4">
        <f>(L75-M75)*(W75+X75)+($W$75+$X$75-$W$75-$X$75)*(L75)</f>
        <v>-1.5282353160728234E-13</v>
      </c>
      <c r="AD75" s="4">
        <f t="shared" si="7"/>
        <v>0</v>
      </c>
      <c r="AE75" s="4">
        <f ca="1">(L75-M75)*(Z75+AA75)+($Z$75+$AA$75-$Z$75-$AA$75)*(L75)</f>
        <v>-1.5282353160728234E-13</v>
      </c>
      <c r="AF75" s="3" t="s">
        <v>550</v>
      </c>
    </row>
    <row r="76" spans="1:32" ht="11.25" customHeight="1" x14ac:dyDescent="0.25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32</v>
      </c>
      <c r="F76" s="3" t="s">
        <v>25</v>
      </c>
      <c r="G76" s="3" t="s">
        <v>25</v>
      </c>
      <c r="H76" s="3" t="s">
        <v>25</v>
      </c>
      <c r="I76" s="6">
        <v>44470</v>
      </c>
      <c r="J76" s="4">
        <v>0</v>
      </c>
      <c r="K76" s="4">
        <v>0</v>
      </c>
      <c r="L76" s="4">
        <v>2.8479999999999999</v>
      </c>
      <c r="M76" s="4">
        <v>2.8479999999999999</v>
      </c>
      <c r="N76" s="4">
        <v>2.8479999999999999</v>
      </c>
      <c r="O76" s="4">
        <v>2.8479999999999999</v>
      </c>
      <c r="P76" s="4">
        <v>41</v>
      </c>
      <c r="Q76" s="3" t="s">
        <v>26</v>
      </c>
      <c r="R76" s="3">
        <v>0</v>
      </c>
      <c r="S76" s="3">
        <v>0</v>
      </c>
      <c r="T76" s="3">
        <v>18</v>
      </c>
      <c r="U76" s="3">
        <v>80</v>
      </c>
      <c r="V76" s="4">
        <f>IF(ISERROR(VLOOKUP($S$76,'TAR FIN'!$A$1:$O$88,15,0)),0,VLOOKUP($S$76,'TAR FIN'!$A$1:$O$88,15,0))</f>
        <v>0</v>
      </c>
      <c r="W76" s="4">
        <f>IF(ISERROR(VLOOKUP($T$76,'TAR FIN'!$A$1:$O$88,15,0)),0,VLOOKUP($T$76,'TAR FIN'!$A$1:$O$88,15,0))</f>
        <v>408.08</v>
      </c>
      <c r="X76" s="4">
        <f>IF(ISERROR(VLOOKUP($U$76,'TAR FIN'!$A$1:$O$88,15,0)),0,VLOOKUP($U$76,'TAR FIN'!$A$1:$O$88,15,0))</f>
        <v>165.21</v>
      </c>
      <c r="Y76" s="4"/>
      <c r="Z76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76" s="4">
        <f>('TE BE'!$AB$14+'TE BF'!$AB$14+'TE CVA'!$AB$14)*(1-CUSTOS!$M$37)</f>
        <v>153.95741395122897</v>
      </c>
      <c r="AB76" s="4">
        <f t="shared" si="6"/>
        <v>0</v>
      </c>
      <c r="AC76" s="4">
        <f>(L76-M76)*(W76+X76)+($W$75+$X$75-$W$76-$X$76)*(L76)</f>
        <v>-8.0945028457790609E-14</v>
      </c>
      <c r="AD76" s="4">
        <f t="shared" si="7"/>
        <v>0</v>
      </c>
      <c r="AE76" s="4">
        <f ca="1">(L76-M76)*(Z76+AA76)+($Z$75+$AA$75-$Z$76-$AA$76)*(L76)</f>
        <v>-8.0945028457790609E-14</v>
      </c>
      <c r="AF76" s="3" t="s">
        <v>550</v>
      </c>
    </row>
    <row r="77" spans="1:32" ht="11.25" customHeight="1" x14ac:dyDescent="0.25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32</v>
      </c>
      <c r="F77" s="3" t="s">
        <v>25</v>
      </c>
      <c r="G77" s="3" t="s">
        <v>25</v>
      </c>
      <c r="H77" s="3" t="s">
        <v>25</v>
      </c>
      <c r="I77" s="6">
        <v>44501</v>
      </c>
      <c r="J77" s="4">
        <v>0</v>
      </c>
      <c r="K77" s="4">
        <v>0</v>
      </c>
      <c r="L77" s="4">
        <v>4.7279999999999998</v>
      </c>
      <c r="M77" s="4">
        <v>4.7279999999999998</v>
      </c>
      <c r="N77" s="4">
        <v>4.7279999999999998</v>
      </c>
      <c r="O77" s="4">
        <v>4.7279999999999998</v>
      </c>
      <c r="P77" s="4">
        <v>57</v>
      </c>
      <c r="Q77" s="3" t="s">
        <v>26</v>
      </c>
      <c r="R77" s="3">
        <v>0</v>
      </c>
      <c r="S77" s="3">
        <v>0</v>
      </c>
      <c r="T77" s="3">
        <v>18</v>
      </c>
      <c r="U77" s="3">
        <v>80</v>
      </c>
      <c r="V77" s="4">
        <f>IF(ISERROR(VLOOKUP($S$77,'TAR FIN'!$A$1:$O$88,15,0)),0,VLOOKUP($S$77,'TAR FIN'!$A$1:$O$88,15,0))</f>
        <v>0</v>
      </c>
      <c r="W77" s="4">
        <f>IF(ISERROR(VLOOKUP($T$77,'TAR FIN'!$A$1:$O$88,15,0)),0,VLOOKUP($T$77,'TAR FIN'!$A$1:$O$88,15,0))</f>
        <v>408.08</v>
      </c>
      <c r="X77" s="4">
        <f>IF(ISERROR(VLOOKUP($U$77,'TAR FIN'!$A$1:$O$88,15,0)),0,VLOOKUP($U$77,'TAR FIN'!$A$1:$O$88,15,0))</f>
        <v>165.21</v>
      </c>
      <c r="Y77" s="4"/>
      <c r="Z77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77" s="4">
        <f>('TE BE'!$AB$14+'TE BF'!$AB$14+'TE CVA'!$AB$14)*(1-CUSTOS!$M$37)</f>
        <v>153.95741395122897</v>
      </c>
      <c r="AB77" s="4">
        <f t="shared" si="6"/>
        <v>0</v>
      </c>
      <c r="AC77" s="4">
        <f>(L77-M77)*(W77+X77)+($W$75+$X$75-$W$77-$X$77)*(L77)</f>
        <v>-1.3437784218695014E-13</v>
      </c>
      <c r="AD77" s="4">
        <f t="shared" si="7"/>
        <v>0</v>
      </c>
      <c r="AE77" s="4">
        <f ca="1">(L77-M77)*(Z77+AA77)+($Z$75+$AA$75-$Z$77-$AA$77)*(L77)</f>
        <v>-1.3437784218695014E-13</v>
      </c>
      <c r="AF77" s="3" t="s">
        <v>550</v>
      </c>
    </row>
    <row r="78" spans="1:32" ht="11.25" customHeight="1" x14ac:dyDescent="0.25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32</v>
      </c>
      <c r="F78" s="3" t="s">
        <v>25</v>
      </c>
      <c r="G78" s="3" t="s">
        <v>25</v>
      </c>
      <c r="H78" s="3" t="s">
        <v>25</v>
      </c>
      <c r="I78" s="6">
        <v>44531</v>
      </c>
      <c r="J78" s="4">
        <v>0</v>
      </c>
      <c r="K78" s="4">
        <v>0</v>
      </c>
      <c r="L78" s="4">
        <v>7.8019999999999996</v>
      </c>
      <c r="M78" s="4">
        <v>7.8019999999999996</v>
      </c>
      <c r="N78" s="4">
        <v>7.8019999999999996</v>
      </c>
      <c r="O78" s="4">
        <v>7.8019999999999996</v>
      </c>
      <c r="P78" s="4">
        <v>79</v>
      </c>
      <c r="Q78" s="3" t="s">
        <v>26</v>
      </c>
      <c r="R78" s="3">
        <v>0</v>
      </c>
      <c r="S78" s="3">
        <v>0</v>
      </c>
      <c r="T78" s="3">
        <v>18</v>
      </c>
      <c r="U78" s="3">
        <v>80</v>
      </c>
      <c r="V78" s="4">
        <f>IF(ISERROR(VLOOKUP($S$78,'TAR FIN'!$A$1:$O$88,15,0)),0,VLOOKUP($S$78,'TAR FIN'!$A$1:$O$88,15,0))</f>
        <v>0</v>
      </c>
      <c r="W78" s="4">
        <f>IF(ISERROR(VLOOKUP($T$78,'TAR FIN'!$A$1:$O$88,15,0)),0,VLOOKUP($T$78,'TAR FIN'!$A$1:$O$88,15,0))</f>
        <v>408.08</v>
      </c>
      <c r="X78" s="4">
        <f>IF(ISERROR(VLOOKUP($U$78,'TAR FIN'!$A$1:$O$88,15,0)),0,VLOOKUP($U$78,'TAR FIN'!$A$1:$O$88,15,0))</f>
        <v>165.21</v>
      </c>
      <c r="Y78" s="4"/>
      <c r="Z78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78" s="4">
        <f>('TE BE'!$AB$14+'TE BF'!$AB$14+'TE CVA'!$AB$14)*(1-CUSTOS!$M$37)</f>
        <v>153.95741395122897</v>
      </c>
      <c r="AB78" s="4">
        <f t="shared" si="6"/>
        <v>0</v>
      </c>
      <c r="AC78" s="4">
        <f>(L78-M78)*(W78+X78)+($W$75+$X$75-$W$78-$X$78)*(L78)</f>
        <v>-2.2174617697601205E-13</v>
      </c>
      <c r="AD78" s="4">
        <f t="shared" si="7"/>
        <v>0</v>
      </c>
      <c r="AE78" s="4">
        <f ca="1">(L78-M78)*(Z78+AA78)+($Z$75+$AA$75-$Z$78-$AA$78)*(L78)</f>
        <v>-2.2174617697601205E-13</v>
      </c>
      <c r="AF78" s="3" t="s">
        <v>550</v>
      </c>
    </row>
    <row r="79" spans="1:32" ht="11.25" customHeight="1" x14ac:dyDescent="0.25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32</v>
      </c>
      <c r="F79" s="3" t="s">
        <v>25</v>
      </c>
      <c r="G79" s="3" t="s">
        <v>25</v>
      </c>
      <c r="H79" s="3" t="s">
        <v>25</v>
      </c>
      <c r="I79" s="6">
        <v>44562</v>
      </c>
      <c r="J79" s="4">
        <v>0</v>
      </c>
      <c r="K79" s="4">
        <v>0</v>
      </c>
      <c r="L79" s="4">
        <v>10.47</v>
      </c>
      <c r="M79" s="4">
        <v>10.47</v>
      </c>
      <c r="N79" s="4">
        <v>10.47</v>
      </c>
      <c r="O79" s="4">
        <v>10.47</v>
      </c>
      <c r="P79" s="4">
        <v>91</v>
      </c>
      <c r="Q79" s="3" t="s">
        <v>26</v>
      </c>
      <c r="R79" s="3">
        <v>0</v>
      </c>
      <c r="S79" s="3">
        <v>0</v>
      </c>
      <c r="T79" s="3">
        <v>18</v>
      </c>
      <c r="U79" s="3">
        <v>80</v>
      </c>
      <c r="V79" s="4">
        <f>IF(ISERROR(VLOOKUP($S$79,'TAR FIN'!$A$1:$O$88,15,0)),0,VLOOKUP($S$79,'TAR FIN'!$A$1:$O$88,15,0))</f>
        <v>0</v>
      </c>
      <c r="W79" s="4">
        <f>IF(ISERROR(VLOOKUP($T$79,'TAR FIN'!$A$1:$O$88,15,0)),0,VLOOKUP($T$79,'TAR FIN'!$A$1:$O$88,15,0))</f>
        <v>408.08</v>
      </c>
      <c r="X79" s="4">
        <f>IF(ISERROR(VLOOKUP($U$79,'TAR FIN'!$A$1:$O$88,15,0)),0,VLOOKUP($U$79,'TAR FIN'!$A$1:$O$88,15,0))</f>
        <v>165.21</v>
      </c>
      <c r="Y79" s="4"/>
      <c r="Z79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79" s="4">
        <f>('TE BE'!$AB$14+'TE BF'!$AB$14+'TE CVA'!$AB$14)*(1-CUSTOS!$M$37)</f>
        <v>153.95741395122897</v>
      </c>
      <c r="AB79" s="4">
        <f t="shared" si="6"/>
        <v>0</v>
      </c>
      <c r="AC79" s="4">
        <f>(L79-M79)*(W79+X79)+($W$75+$X$75-$W$79-$X$79)*(L79)</f>
        <v>-2.9757529773632998E-13</v>
      </c>
      <c r="AD79" s="4">
        <f t="shared" si="7"/>
        <v>0</v>
      </c>
      <c r="AE79" s="4">
        <f ca="1">(L79-M79)*(Z79+AA79)+($Z$75+$AA$75-$Z$79-$AA$79)*(L79)</f>
        <v>-2.9757529773632998E-13</v>
      </c>
      <c r="AF79" s="3" t="s">
        <v>550</v>
      </c>
    </row>
    <row r="80" spans="1:32" ht="11.25" customHeight="1" x14ac:dyDescent="0.25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32</v>
      </c>
      <c r="F80" s="3" t="s">
        <v>25</v>
      </c>
      <c r="G80" s="3" t="s">
        <v>25</v>
      </c>
      <c r="H80" s="3" t="s">
        <v>25</v>
      </c>
      <c r="I80" s="6">
        <v>44593</v>
      </c>
      <c r="J80" s="4">
        <v>0</v>
      </c>
      <c r="K80" s="4">
        <v>0</v>
      </c>
      <c r="L80" s="4">
        <v>14.282</v>
      </c>
      <c r="M80" s="4">
        <v>14.282</v>
      </c>
      <c r="N80" s="4">
        <v>14.282</v>
      </c>
      <c r="O80" s="4">
        <v>14.282</v>
      </c>
      <c r="P80" s="4">
        <v>122</v>
      </c>
      <c r="Q80" s="3" t="s">
        <v>26</v>
      </c>
      <c r="R80" s="3">
        <v>0</v>
      </c>
      <c r="S80" s="3">
        <v>0</v>
      </c>
      <c r="T80" s="3">
        <v>18</v>
      </c>
      <c r="U80" s="3">
        <v>80</v>
      </c>
      <c r="V80" s="4">
        <f>IF(ISERROR(VLOOKUP($S$80,'TAR FIN'!$A$1:$O$88,15,0)),0,VLOOKUP($S$80,'TAR FIN'!$A$1:$O$88,15,0))</f>
        <v>0</v>
      </c>
      <c r="W80" s="4">
        <f>IF(ISERROR(VLOOKUP($T$80,'TAR FIN'!$A$1:$O$88,15,0)),0,VLOOKUP($T$80,'TAR FIN'!$A$1:$O$88,15,0))</f>
        <v>408.08</v>
      </c>
      <c r="X80" s="4">
        <f>IF(ISERROR(VLOOKUP($U$80,'TAR FIN'!$A$1:$O$88,15,0)),0,VLOOKUP($U$80,'TAR FIN'!$A$1:$O$88,15,0))</f>
        <v>165.21</v>
      </c>
      <c r="Y80" s="4"/>
      <c r="Z80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80" s="4">
        <f>('TE BE'!$AB$14+'TE BF'!$AB$14+'TE CVA'!$AB$14)*(1-CUSTOS!$M$37)</f>
        <v>153.95741395122897</v>
      </c>
      <c r="AB80" s="4">
        <f t="shared" si="6"/>
        <v>0</v>
      </c>
      <c r="AC80" s="4">
        <f>(L80-M80)*(W80+X80)+($W$75+$X$75-$W$80-$X$80)*(L80)</f>
        <v>-4.0591885408503003E-13</v>
      </c>
      <c r="AD80" s="4">
        <f t="shared" si="7"/>
        <v>0</v>
      </c>
      <c r="AE80" s="4">
        <f ca="1">(L80-M80)*(Z80+AA80)+($Z$75+$AA$75-$Z$80-$AA$80)*(L80)</f>
        <v>-4.0591885408503003E-13</v>
      </c>
      <c r="AF80" s="3" t="s">
        <v>550</v>
      </c>
    </row>
    <row r="81" spans="1:32" ht="11.25" customHeight="1" x14ac:dyDescent="0.25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32</v>
      </c>
      <c r="F81" s="3" t="s">
        <v>25</v>
      </c>
      <c r="G81" s="3" t="s">
        <v>25</v>
      </c>
      <c r="H81" s="3" t="s">
        <v>25</v>
      </c>
      <c r="I81" s="6">
        <v>44621</v>
      </c>
      <c r="J81" s="4">
        <v>0</v>
      </c>
      <c r="K81" s="4">
        <v>0</v>
      </c>
      <c r="L81" s="4">
        <v>15.81</v>
      </c>
      <c r="M81" s="4">
        <v>15.81</v>
      </c>
      <c r="N81" s="4">
        <v>15.81</v>
      </c>
      <c r="O81" s="4">
        <v>15.81</v>
      </c>
      <c r="P81" s="4">
        <v>139</v>
      </c>
      <c r="Q81" s="3" t="s">
        <v>26</v>
      </c>
      <c r="R81" s="3">
        <v>0</v>
      </c>
      <c r="S81" s="3">
        <v>0</v>
      </c>
      <c r="T81" s="3">
        <v>18</v>
      </c>
      <c r="U81" s="3">
        <v>80</v>
      </c>
      <c r="V81" s="4">
        <f>IF(ISERROR(VLOOKUP($S$81,'TAR FIN'!$A$1:$O$88,15,0)),0,VLOOKUP($S$81,'TAR FIN'!$A$1:$O$88,15,0))</f>
        <v>0</v>
      </c>
      <c r="W81" s="4">
        <f>IF(ISERROR(VLOOKUP($T$81,'TAR FIN'!$A$1:$O$88,15,0)),0,VLOOKUP($T$81,'TAR FIN'!$A$1:$O$88,15,0))</f>
        <v>408.08</v>
      </c>
      <c r="X81" s="4">
        <f>IF(ISERROR(VLOOKUP($U$81,'TAR FIN'!$A$1:$O$88,15,0)),0,VLOOKUP($U$81,'TAR FIN'!$A$1:$O$88,15,0))</f>
        <v>165.21</v>
      </c>
      <c r="Y81" s="4"/>
      <c r="Z81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81" s="4">
        <f>('TE BE'!$AB$14+'TE BF'!$AB$14+'TE CVA'!$AB$14)*(1-CUSTOS!$M$37)</f>
        <v>153.95741395122897</v>
      </c>
      <c r="AB81" s="4">
        <f t="shared" si="6"/>
        <v>0</v>
      </c>
      <c r="AC81" s="4">
        <f>(L81-M81)*(W81+X81)+($W$75+$X$75-$W$81-$X$81)*(L81)</f>
        <v>-4.4934722609468737E-13</v>
      </c>
      <c r="AD81" s="4">
        <f t="shared" si="7"/>
        <v>0</v>
      </c>
      <c r="AE81" s="4">
        <f ca="1">(L81-M81)*(Z81+AA81)+($Z$75+$AA$75-$Z$81-$AA$81)*(L81)</f>
        <v>-4.4934722609468737E-13</v>
      </c>
      <c r="AF81" s="3" t="s">
        <v>550</v>
      </c>
    </row>
    <row r="82" spans="1:32" ht="11.25" customHeight="1" x14ac:dyDescent="0.25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32</v>
      </c>
      <c r="F82" s="3" t="s">
        <v>25</v>
      </c>
      <c r="G82" s="3" t="s">
        <v>25</v>
      </c>
      <c r="H82" s="3" t="s">
        <v>25</v>
      </c>
      <c r="I82" s="6">
        <v>44652</v>
      </c>
      <c r="J82" s="4">
        <v>0</v>
      </c>
      <c r="K82" s="4">
        <v>0</v>
      </c>
      <c r="L82" s="4">
        <v>12.138999999999999</v>
      </c>
      <c r="M82" s="4">
        <v>12.138999999999999</v>
      </c>
      <c r="N82" s="4">
        <v>12.138999999999999</v>
      </c>
      <c r="O82" s="4">
        <v>12.138999999999999</v>
      </c>
      <c r="P82" s="4">
        <v>127</v>
      </c>
      <c r="Q82" s="3" t="s">
        <v>26</v>
      </c>
      <c r="R82" s="3">
        <v>0</v>
      </c>
      <c r="S82" s="3">
        <v>0</v>
      </c>
      <c r="T82" s="3">
        <v>18</v>
      </c>
      <c r="U82" s="3">
        <v>80</v>
      </c>
      <c r="V82" s="4">
        <f>IF(ISERROR(VLOOKUP($S$82,'TAR FIN'!$A$1:$O$88,15,0)),0,VLOOKUP($S$82,'TAR FIN'!$A$1:$O$88,15,0))</f>
        <v>0</v>
      </c>
      <c r="W82" s="4">
        <f>IF(ISERROR(VLOOKUP($T$82,'TAR FIN'!$A$1:$O$88,15,0)),0,VLOOKUP($T$82,'TAR FIN'!$A$1:$O$88,15,0))</f>
        <v>408.08</v>
      </c>
      <c r="X82" s="4">
        <f>IF(ISERROR(VLOOKUP($U$82,'TAR FIN'!$A$1:$O$88,15,0)),0,VLOOKUP($U$82,'TAR FIN'!$A$1:$O$88,15,0))</f>
        <v>165.21</v>
      </c>
      <c r="Y82" s="4"/>
      <c r="Z82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82" s="4">
        <f>('TE BE'!$AB$14+'TE BF'!$AB$14+'TE CVA'!$AB$14)*(1-CUSTOS!$M$37)</f>
        <v>153.95741395122897</v>
      </c>
      <c r="AB82" s="4">
        <f t="shared" si="6"/>
        <v>0</v>
      </c>
      <c r="AC82" s="4">
        <f>(L82-M82)*(W82+X82)+($W$75+$X$75-$W$82-$X$82)*(L82)</f>
        <v>-3.4501113077567423E-13</v>
      </c>
      <c r="AD82" s="4">
        <f t="shared" si="7"/>
        <v>0</v>
      </c>
      <c r="AE82" s="4">
        <f ca="1">(L82-M82)*(Z82+AA82)+($Z$75+$AA$75-$Z$82-$AA$82)*(L82)</f>
        <v>-3.4501113077567423E-13</v>
      </c>
      <c r="AF82" s="3" t="s">
        <v>550</v>
      </c>
    </row>
    <row r="83" spans="1:32" ht="11.25" customHeight="1" x14ac:dyDescent="0.25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32</v>
      </c>
      <c r="F83" s="3" t="s">
        <v>25</v>
      </c>
      <c r="G83" s="3" t="s">
        <v>25</v>
      </c>
      <c r="H83" s="3" t="s">
        <v>25</v>
      </c>
      <c r="I83" s="6">
        <v>44682</v>
      </c>
      <c r="J83" s="4">
        <v>0</v>
      </c>
      <c r="K83" s="4">
        <v>0</v>
      </c>
      <c r="L83" s="4">
        <v>7.76</v>
      </c>
      <c r="M83" s="4">
        <v>7.76</v>
      </c>
      <c r="N83" s="4">
        <v>7.76</v>
      </c>
      <c r="O83" s="4">
        <v>7.76</v>
      </c>
      <c r="P83" s="4">
        <v>84</v>
      </c>
      <c r="Q83" s="3" t="s">
        <v>26</v>
      </c>
      <c r="R83" s="3">
        <v>0</v>
      </c>
      <c r="S83" s="3">
        <v>0</v>
      </c>
      <c r="T83" s="3">
        <v>18</v>
      </c>
      <c r="U83" s="3">
        <v>80</v>
      </c>
      <c r="V83" s="4">
        <f>IF(ISERROR(VLOOKUP($S$83,'TAR FIN'!$A$1:$O$88,15,0)),0,VLOOKUP($S$83,'TAR FIN'!$A$1:$O$88,15,0))</f>
        <v>0</v>
      </c>
      <c r="W83" s="4">
        <f>IF(ISERROR(VLOOKUP($T$83,'TAR FIN'!$A$1:$O$88,15,0)),0,VLOOKUP($T$83,'TAR FIN'!$A$1:$O$88,15,0))</f>
        <v>408.08</v>
      </c>
      <c r="X83" s="4">
        <f>IF(ISERROR(VLOOKUP($U$83,'TAR FIN'!$A$1:$O$88,15,0)),0,VLOOKUP($U$83,'TAR FIN'!$A$1:$O$88,15,0))</f>
        <v>165.21</v>
      </c>
      <c r="Y83" s="4"/>
      <c r="Z83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83" s="4">
        <f>('TE BE'!$AB$14+'TE BF'!$AB$14+'TE CVA'!$AB$14)*(1-CUSTOS!$M$37)</f>
        <v>153.95741395122897</v>
      </c>
      <c r="AB83" s="4">
        <f t="shared" si="6"/>
        <v>0</v>
      </c>
      <c r="AC83" s="4">
        <f>(L83-M83)*(W83+X83)+($W$75+$X$75-$W$83-$X$83)*(L83)</f>
        <v>-2.2055246517993509E-13</v>
      </c>
      <c r="AD83" s="4">
        <f t="shared" si="7"/>
        <v>0</v>
      </c>
      <c r="AE83" s="4">
        <f ca="1">(L83-M83)*(Z83+AA83)+($Z$75+$AA$75-$Z$83-$AA$83)*(L83)</f>
        <v>-2.2055246517993509E-13</v>
      </c>
      <c r="AF83" s="3" t="s">
        <v>550</v>
      </c>
    </row>
    <row r="84" spans="1:32" ht="11.25" customHeight="1" x14ac:dyDescent="0.25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32</v>
      </c>
      <c r="F84" s="3" t="s">
        <v>25</v>
      </c>
      <c r="G84" s="3" t="s">
        <v>25</v>
      </c>
      <c r="H84" s="3" t="s">
        <v>25</v>
      </c>
      <c r="I84" s="6">
        <v>44713</v>
      </c>
      <c r="J84" s="4">
        <v>0</v>
      </c>
      <c r="K84" s="4">
        <v>0</v>
      </c>
      <c r="L84" s="4">
        <v>10.635</v>
      </c>
      <c r="M84" s="4">
        <v>10.635</v>
      </c>
      <c r="N84" s="4">
        <v>10.635</v>
      </c>
      <c r="O84" s="4">
        <v>10.635</v>
      </c>
      <c r="P84" s="4">
        <v>106</v>
      </c>
      <c r="Q84" s="3" t="s">
        <v>26</v>
      </c>
      <c r="R84" s="3">
        <v>0</v>
      </c>
      <c r="S84" s="3">
        <v>0</v>
      </c>
      <c r="T84" s="3">
        <v>18</v>
      </c>
      <c r="U84" s="3">
        <v>80</v>
      </c>
      <c r="V84" s="4">
        <f>IF(ISERROR(VLOOKUP($S$84,'TAR FIN'!$A$1:$O$88,15,0)),0,VLOOKUP($S$84,'TAR FIN'!$A$1:$O$88,15,0))</f>
        <v>0</v>
      </c>
      <c r="W84" s="4">
        <f>IF(ISERROR(VLOOKUP($T$84,'TAR FIN'!$A$1:$O$88,15,0)),0,VLOOKUP($T$84,'TAR FIN'!$A$1:$O$88,15,0))</f>
        <v>408.08</v>
      </c>
      <c r="X84" s="4">
        <f>IF(ISERROR(VLOOKUP($U$84,'TAR FIN'!$A$1:$O$88,15,0)),0,VLOOKUP($U$84,'TAR FIN'!$A$1:$O$88,15,0))</f>
        <v>165.21</v>
      </c>
      <c r="Y84" s="4"/>
      <c r="Z84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84" s="4">
        <f>('TE BE'!$AB$14+'TE BF'!$AB$14+'TE CVA'!$AB$14)*(1-CUSTOS!$M$37)</f>
        <v>153.95741395122897</v>
      </c>
      <c r="AB84" s="4">
        <f t="shared" si="6"/>
        <v>0</v>
      </c>
      <c r="AC84" s="4">
        <f>(L84-M84)*(W84+X84)+($W$75+$X$75-$W$84-$X$84)*(L84)</f>
        <v>-3.0226487979234661E-13</v>
      </c>
      <c r="AD84" s="4">
        <f t="shared" si="7"/>
        <v>0</v>
      </c>
      <c r="AE84" s="4">
        <f ca="1">(L84-M84)*(Z84+AA84)+($Z$75+$AA$75-$Z$84-$AA$84)*(L84)</f>
        <v>-3.0226487979234661E-13</v>
      </c>
      <c r="AF84" s="3" t="s">
        <v>550</v>
      </c>
    </row>
    <row r="85" spans="1:32" ht="11.25" customHeight="1" x14ac:dyDescent="0.2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32</v>
      </c>
      <c r="F85" s="3" t="s">
        <v>25</v>
      </c>
      <c r="G85" s="3" t="s">
        <v>25</v>
      </c>
      <c r="H85" s="3" t="s">
        <v>25</v>
      </c>
      <c r="I85" s="6">
        <v>44743</v>
      </c>
      <c r="J85" s="4">
        <v>0</v>
      </c>
      <c r="K85" s="4">
        <v>0</v>
      </c>
      <c r="L85" s="4">
        <v>4.3120000000000003</v>
      </c>
      <c r="M85" s="4">
        <v>4.3120000000000003</v>
      </c>
      <c r="N85" s="4">
        <v>4.3120000000000003</v>
      </c>
      <c r="O85" s="4">
        <v>4.3120000000000003</v>
      </c>
      <c r="P85" s="4">
        <v>60</v>
      </c>
      <c r="Q85" s="3" t="s">
        <v>26</v>
      </c>
      <c r="R85" s="3">
        <v>0</v>
      </c>
      <c r="S85" s="3">
        <v>0</v>
      </c>
      <c r="T85" s="3">
        <v>18</v>
      </c>
      <c r="U85" s="3">
        <v>80</v>
      </c>
      <c r="V85" s="4">
        <f>IF(ISERROR(VLOOKUP($S$85,'TAR FIN'!$A$1:$O$88,15,0)),0,VLOOKUP($S$85,'TAR FIN'!$A$1:$O$88,15,0))</f>
        <v>0</v>
      </c>
      <c r="W85" s="4">
        <f>IF(ISERROR(VLOOKUP($T$85,'TAR FIN'!$A$1:$O$88,15,0)),0,VLOOKUP($T$85,'TAR FIN'!$A$1:$O$88,15,0))</f>
        <v>408.08</v>
      </c>
      <c r="X85" s="4">
        <f>IF(ISERROR(VLOOKUP($U$85,'TAR FIN'!$A$1:$O$88,15,0)),0,VLOOKUP($U$85,'TAR FIN'!$A$1:$O$88,15,0))</f>
        <v>165.21</v>
      </c>
      <c r="Y85" s="4"/>
      <c r="Z85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85" s="4">
        <f>('TE BE'!$AB$14+'TE BF'!$AB$14+'TE CVA'!$AB$14)*(1-CUSTOS!$M$37)</f>
        <v>153.95741395122897</v>
      </c>
      <c r="AB85" s="4">
        <f t="shared" si="6"/>
        <v>0</v>
      </c>
      <c r="AC85" s="4">
        <f>(L85-M85)*(W85+X85)+($W$75+$X$75-$W$85-$X$85)*(L85)</f>
        <v>-1.2255441106390209E-13</v>
      </c>
      <c r="AD85" s="4">
        <f t="shared" si="7"/>
        <v>0</v>
      </c>
      <c r="AE85" s="4">
        <f ca="1">(L85-M85)*(Z85+AA85)+($Z$75+$AA$75-$Z$85-$AA$85)*(L85)</f>
        <v>-1.2255441106390209E-13</v>
      </c>
      <c r="AF85" s="3" t="s">
        <v>550</v>
      </c>
    </row>
    <row r="86" spans="1:32" ht="11.25" customHeight="1" x14ac:dyDescent="0.25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32</v>
      </c>
      <c r="F86" s="3" t="s">
        <v>25</v>
      </c>
      <c r="G86" s="3" t="s">
        <v>25</v>
      </c>
      <c r="H86" s="3" t="s">
        <v>25</v>
      </c>
      <c r="I86" s="6">
        <v>44774</v>
      </c>
      <c r="J86" s="4">
        <v>0</v>
      </c>
      <c r="K86" s="4">
        <v>0</v>
      </c>
      <c r="L86" s="4">
        <v>7.032</v>
      </c>
      <c r="M86" s="4">
        <v>7.032</v>
      </c>
      <c r="N86" s="4">
        <v>7.032</v>
      </c>
      <c r="O86" s="4">
        <v>7.032</v>
      </c>
      <c r="P86" s="4">
        <v>73</v>
      </c>
      <c r="Q86" s="3" t="s">
        <v>26</v>
      </c>
      <c r="R86" s="3">
        <v>0</v>
      </c>
      <c r="S86" s="3">
        <v>0</v>
      </c>
      <c r="T86" s="3">
        <v>18</v>
      </c>
      <c r="U86" s="3">
        <v>80</v>
      </c>
      <c r="V86" s="4">
        <f>IF(ISERROR(VLOOKUP($S$86,'TAR FIN'!$A$1:$O$88,15,0)),0,VLOOKUP($S$86,'TAR FIN'!$A$1:$O$88,15,0))</f>
        <v>0</v>
      </c>
      <c r="W86" s="4">
        <f>IF(ISERROR(VLOOKUP($T$86,'TAR FIN'!$A$1:$O$88,15,0)),0,VLOOKUP($T$86,'TAR FIN'!$A$1:$O$88,15,0))</f>
        <v>408.08</v>
      </c>
      <c r="X86" s="4">
        <f>IF(ISERROR(VLOOKUP($U$86,'TAR FIN'!$A$1:$O$88,15,0)),0,VLOOKUP($U$86,'TAR FIN'!$A$1:$O$88,15,0))</f>
        <v>165.21</v>
      </c>
      <c r="Y86" s="4"/>
      <c r="Z86" s="4">
        <f ca="1">('TUSD BE'!$AM$24+'TUSD BF'!$AM$24+'TUSD CVA'!$AM$24-('TUSD BE'!$P$24+'TUSD BF'!$P$24+'TUSD CVA'!$P$24)-('TUSD BE'!$Q$24+'TUSD BF'!$Q$24+'TUSD CVA'!$Q$24)-('TUSD BE'!$R$24+'TUSD BF'!$R$24+'TUSD CVA'!$R$24))*(1-CUSTOS!$M$37)</f>
        <v>423.23704285817297</v>
      </c>
      <c r="AA86" s="4">
        <f>('TE BE'!$AB$14+'TE BF'!$AB$14+'TE CVA'!$AB$14)*(1-CUSTOS!$M$37)</f>
        <v>153.95741395122897</v>
      </c>
      <c r="AB86" s="4">
        <f t="shared" si="6"/>
        <v>0</v>
      </c>
      <c r="AC86" s="4">
        <f>(L86-M86)*(W86+X86)+($W$75+$X$75-$W$86-$X$86)*(L86)</f>
        <v>-1.9986146071460098E-13</v>
      </c>
      <c r="AD86" s="4">
        <f t="shared" si="7"/>
        <v>0</v>
      </c>
      <c r="AE86" s="4">
        <f ca="1">(L86-M86)*(Z86+AA86)+($Z$75+$AA$75-$Z$86-$AA$86)*(L86)</f>
        <v>-1.9986146071460098E-13</v>
      </c>
      <c r="AF86" s="3" t="s">
        <v>550</v>
      </c>
    </row>
    <row r="87" spans="1:32" ht="11.25" customHeight="1" x14ac:dyDescent="0.25">
      <c r="A87" s="3" t="s">
        <v>21</v>
      </c>
      <c r="B87" s="3" t="s">
        <v>40</v>
      </c>
      <c r="C87" s="3" t="s">
        <v>23</v>
      </c>
      <c r="D87" s="3" t="s">
        <v>41</v>
      </c>
      <c r="E87" s="3" t="s">
        <v>53</v>
      </c>
      <c r="F87" s="3" t="s">
        <v>51</v>
      </c>
      <c r="G87" s="3" t="s">
        <v>25</v>
      </c>
      <c r="H87" s="3" t="s">
        <v>25</v>
      </c>
      <c r="I87" s="6">
        <v>44531</v>
      </c>
      <c r="J87" s="4">
        <v>0</v>
      </c>
      <c r="K87" s="4">
        <v>0</v>
      </c>
      <c r="L87" s="4">
        <v>1.0429999999999999</v>
      </c>
      <c r="M87" s="4">
        <v>1.0429999999999999</v>
      </c>
      <c r="N87" s="4">
        <v>1.0429999999999999</v>
      </c>
      <c r="O87" s="4">
        <v>1.0429999999999999</v>
      </c>
      <c r="P87" s="4">
        <v>0</v>
      </c>
      <c r="Q87" s="3" t="s">
        <v>26</v>
      </c>
      <c r="R87" s="3">
        <v>0</v>
      </c>
      <c r="S87" s="3">
        <v>0</v>
      </c>
      <c r="T87" s="3">
        <v>34</v>
      </c>
      <c r="U87" s="3">
        <v>52</v>
      </c>
      <c r="V87" s="4">
        <f>IF(ISERROR(VLOOKUP($S$87,'TAR FIN'!$A$1:$O$88,15,0)),0,VLOOKUP($S$87,'TAR FIN'!$A$1:$O$88,15,0))</f>
        <v>0</v>
      </c>
      <c r="W87" s="4">
        <f>IF(ISERROR(VLOOKUP($T$87,'TAR FIN'!$A$1:$O$88,15,0)),0,VLOOKUP($T$87,'TAR FIN'!$A$1:$O$88,15,0))</f>
        <v>418.93</v>
      </c>
      <c r="X87" s="4">
        <f>IF(ISERROR(VLOOKUP($U$87,'TAR FIN'!$A$1:$O$88,15,0)),0,VLOOKUP($U$87,'TAR FIN'!$A$1:$O$88,15,0))</f>
        <v>145.38</v>
      </c>
      <c r="Y87" s="4"/>
      <c r="Z87" s="4">
        <f ca="1">('TUSD BE'!$AM$33+'TUSD BF'!$AM$33+'TUSD CVA'!$AM$33)*(1-CUSTOS!$M$38)</f>
        <v>497.93087316633921</v>
      </c>
      <c r="AA87" s="4">
        <f>('TE BE'!$AB$23+'TE BF'!$AB$23+'TE CVA'!$AB$23)*(1-CUSTOS!$M$38)</f>
        <v>144.71996911415522</v>
      </c>
      <c r="AB87" s="4">
        <f t="shared" si="6"/>
        <v>0</v>
      </c>
      <c r="AC87" s="4">
        <f>(L87-M87)*(W87+X87)+($W$38+$X$38-$W$87-$X$87)*(L87)</f>
        <v>80.269279999999966</v>
      </c>
      <c r="AD87" s="4">
        <f t="shared" si="7"/>
        <v>0</v>
      </c>
      <c r="AE87" s="4">
        <f ca="1">(L87-M87)*(Z87+AA87)+($Z$38+$AA$38-$Z$87-$AA$87)*(L87)</f>
        <v>42.784137989269581</v>
      </c>
      <c r="AF87" s="3" t="s">
        <v>551</v>
      </c>
    </row>
    <row r="88" spans="1:32" ht="11.25" customHeight="1" x14ac:dyDescent="0.25">
      <c r="A88" s="3" t="s">
        <v>21</v>
      </c>
      <c r="B88" s="3" t="s">
        <v>40</v>
      </c>
      <c r="C88" s="3" t="s">
        <v>23</v>
      </c>
      <c r="D88" s="3" t="s">
        <v>41</v>
      </c>
      <c r="E88" s="3" t="s">
        <v>53</v>
      </c>
      <c r="F88" s="3" t="s">
        <v>51</v>
      </c>
      <c r="G88" s="3" t="s">
        <v>25</v>
      </c>
      <c r="H88" s="3" t="s">
        <v>25</v>
      </c>
      <c r="I88" s="6">
        <v>44562</v>
      </c>
      <c r="J88" s="4">
        <v>0</v>
      </c>
      <c r="K88" s="4">
        <v>0</v>
      </c>
      <c r="L88" s="4">
        <v>1.181</v>
      </c>
      <c r="M88" s="4">
        <v>1.181</v>
      </c>
      <c r="N88" s="4">
        <v>1.181</v>
      </c>
      <c r="O88" s="4">
        <v>1.181</v>
      </c>
      <c r="P88" s="4">
        <v>0</v>
      </c>
      <c r="Q88" s="3" t="s">
        <v>26</v>
      </c>
      <c r="R88" s="3">
        <v>0</v>
      </c>
      <c r="S88" s="3">
        <v>0</v>
      </c>
      <c r="T88" s="3">
        <v>34</v>
      </c>
      <c r="U88" s="3">
        <v>52</v>
      </c>
      <c r="V88" s="4">
        <f>IF(ISERROR(VLOOKUP($S$88,'TAR FIN'!$A$1:$O$88,15,0)),0,VLOOKUP($S$88,'TAR FIN'!$A$1:$O$88,15,0))</f>
        <v>0</v>
      </c>
      <c r="W88" s="4">
        <f>IF(ISERROR(VLOOKUP($T$88,'TAR FIN'!$A$1:$O$88,15,0)),0,VLOOKUP($T$88,'TAR FIN'!$A$1:$O$88,15,0))</f>
        <v>418.93</v>
      </c>
      <c r="X88" s="4">
        <f>IF(ISERROR(VLOOKUP($U$88,'TAR FIN'!$A$1:$O$88,15,0)),0,VLOOKUP($U$88,'TAR FIN'!$A$1:$O$88,15,0))</f>
        <v>145.38</v>
      </c>
      <c r="Y88" s="4"/>
      <c r="Z88" s="4">
        <f ca="1">('TUSD BE'!$AM$33+'TUSD BF'!$AM$33+'TUSD CVA'!$AM$33)*(1-CUSTOS!$M$38)</f>
        <v>497.93087316633921</v>
      </c>
      <c r="AA88" s="4">
        <f>('TE BE'!$AB$23+'TE BF'!$AB$23+'TE CVA'!$AB$23)*(1-CUSTOS!$M$38)</f>
        <v>144.71996911415522</v>
      </c>
      <c r="AB88" s="4">
        <f t="shared" si="6"/>
        <v>0</v>
      </c>
      <c r="AC88" s="4">
        <f>(L88-M88)*(W88+X88)+($W$38+$X$38-$W$88-$X$88)*(L88)</f>
        <v>90.889759999999981</v>
      </c>
      <c r="AD88" s="4">
        <f t="shared" si="7"/>
        <v>0</v>
      </c>
      <c r="AE88" s="4">
        <f ca="1">(L88-M88)*(Z88+AA88)+($Z$38+$AA$38-$Z$88-$AA$88)*(L88)</f>
        <v>48.44493477020842</v>
      </c>
      <c r="AF88" s="3" t="s">
        <v>551</v>
      </c>
    </row>
    <row r="89" spans="1:32" ht="11.25" customHeight="1" x14ac:dyDescent="0.25">
      <c r="A89" s="3" t="s">
        <v>21</v>
      </c>
      <c r="B89" s="3" t="s">
        <v>40</v>
      </c>
      <c r="C89" s="3" t="s">
        <v>23</v>
      </c>
      <c r="D89" s="3" t="s">
        <v>41</v>
      </c>
      <c r="E89" s="3" t="s">
        <v>53</v>
      </c>
      <c r="F89" s="3" t="s">
        <v>51</v>
      </c>
      <c r="G89" s="3" t="s">
        <v>25</v>
      </c>
      <c r="H89" s="3" t="s">
        <v>25</v>
      </c>
      <c r="I89" s="6">
        <v>44593</v>
      </c>
      <c r="J89" s="4">
        <v>0</v>
      </c>
      <c r="K89" s="4">
        <v>0</v>
      </c>
      <c r="L89" s="4">
        <v>0.9</v>
      </c>
      <c r="M89" s="4">
        <v>0.9</v>
      </c>
      <c r="N89" s="4">
        <v>0.9</v>
      </c>
      <c r="O89" s="4">
        <v>0.9</v>
      </c>
      <c r="P89" s="4">
        <v>0</v>
      </c>
      <c r="Q89" s="3" t="s">
        <v>26</v>
      </c>
      <c r="R89" s="3">
        <v>0</v>
      </c>
      <c r="S89" s="3">
        <v>0</v>
      </c>
      <c r="T89" s="3">
        <v>34</v>
      </c>
      <c r="U89" s="3">
        <v>52</v>
      </c>
      <c r="V89" s="4">
        <f>IF(ISERROR(VLOOKUP($S$89,'TAR FIN'!$A$1:$O$88,15,0)),0,VLOOKUP($S$89,'TAR FIN'!$A$1:$O$88,15,0))</f>
        <v>0</v>
      </c>
      <c r="W89" s="4">
        <f>IF(ISERROR(VLOOKUP($T$89,'TAR FIN'!$A$1:$O$88,15,0)),0,VLOOKUP($T$89,'TAR FIN'!$A$1:$O$88,15,0))</f>
        <v>418.93</v>
      </c>
      <c r="X89" s="4">
        <f>IF(ISERROR(VLOOKUP($U$89,'TAR FIN'!$A$1:$O$88,15,0)),0,VLOOKUP($U$89,'TAR FIN'!$A$1:$O$88,15,0))</f>
        <v>145.38</v>
      </c>
      <c r="Y89" s="4"/>
      <c r="Z89" s="4">
        <f ca="1">('TUSD BE'!$AM$33+'TUSD BF'!$AM$33+'TUSD CVA'!$AM$33)*(1-CUSTOS!$M$38)</f>
        <v>497.93087316633921</v>
      </c>
      <c r="AA89" s="4">
        <f>('TE BE'!$AB$23+'TE BF'!$AB$23+'TE CVA'!$AB$23)*(1-CUSTOS!$M$38)</f>
        <v>144.71996911415522</v>
      </c>
      <c r="AB89" s="4">
        <f t="shared" si="6"/>
        <v>0</v>
      </c>
      <c r="AC89" s="4">
        <f>(L89-M89)*(W89+X89)+($W$38+$X$38-$W$89-$X$89)*(L89)</f>
        <v>69.263999999999982</v>
      </c>
      <c r="AD89" s="4">
        <f t="shared" si="7"/>
        <v>0</v>
      </c>
      <c r="AE89" s="4">
        <f ca="1">(L89-M89)*(Z89+AA89)+($Z$38+$AA$38-$Z$89-$AA$89)*(L89)</f>
        <v>36.918239875688037</v>
      </c>
      <c r="AF89" s="3" t="s">
        <v>551</v>
      </c>
    </row>
    <row r="90" spans="1:32" ht="11.25" customHeight="1" x14ac:dyDescent="0.25">
      <c r="A90" s="3" t="s">
        <v>21</v>
      </c>
      <c r="B90" s="3" t="s">
        <v>40</v>
      </c>
      <c r="C90" s="3" t="s">
        <v>23</v>
      </c>
      <c r="D90" s="3" t="s">
        <v>41</v>
      </c>
      <c r="E90" s="3" t="s">
        <v>53</v>
      </c>
      <c r="F90" s="3" t="s">
        <v>51</v>
      </c>
      <c r="G90" s="3" t="s">
        <v>25</v>
      </c>
      <c r="H90" s="3" t="s">
        <v>25</v>
      </c>
      <c r="I90" s="6">
        <v>44621</v>
      </c>
      <c r="J90" s="4">
        <v>0</v>
      </c>
      <c r="K90" s="4">
        <v>0</v>
      </c>
      <c r="L90" s="4">
        <v>0.111</v>
      </c>
      <c r="M90" s="4">
        <v>0.111</v>
      </c>
      <c r="N90" s="4">
        <v>0.111</v>
      </c>
      <c r="O90" s="4">
        <v>0.111</v>
      </c>
      <c r="P90" s="4">
        <v>0</v>
      </c>
      <c r="Q90" s="3" t="s">
        <v>26</v>
      </c>
      <c r="R90" s="3">
        <v>0</v>
      </c>
      <c r="S90" s="3">
        <v>0</v>
      </c>
      <c r="T90" s="3">
        <v>34</v>
      </c>
      <c r="U90" s="3">
        <v>52</v>
      </c>
      <c r="V90" s="4">
        <f>IF(ISERROR(VLOOKUP($S$90,'TAR FIN'!$A$1:$O$88,15,0)),0,VLOOKUP($S$90,'TAR FIN'!$A$1:$O$88,15,0))</f>
        <v>0</v>
      </c>
      <c r="W90" s="4">
        <f>IF(ISERROR(VLOOKUP($T$90,'TAR FIN'!$A$1:$O$88,15,0)),0,VLOOKUP($T$90,'TAR FIN'!$A$1:$O$88,15,0))</f>
        <v>418.93</v>
      </c>
      <c r="X90" s="4">
        <f>IF(ISERROR(VLOOKUP($U$90,'TAR FIN'!$A$1:$O$88,15,0)),0,VLOOKUP($U$90,'TAR FIN'!$A$1:$O$88,15,0))</f>
        <v>145.38</v>
      </c>
      <c r="Y90" s="4"/>
      <c r="Z90" s="4">
        <f ca="1">('TUSD BE'!$AM$33+'TUSD BF'!$AM$33+'TUSD CVA'!$AM$33)*(1-CUSTOS!$M$38)</f>
        <v>497.93087316633921</v>
      </c>
      <c r="AA90" s="4">
        <f>('TE BE'!$AB$23+'TE BF'!$AB$23+'TE CVA'!$AB$23)*(1-CUSTOS!$M$38)</f>
        <v>144.71996911415522</v>
      </c>
      <c r="AB90" s="4">
        <f t="shared" si="6"/>
        <v>0</v>
      </c>
      <c r="AC90" s="4">
        <f>(L90-M90)*(W90+X90)+($W$38+$X$38-$W$90-$X$90)*(L90)</f>
        <v>8.5425599999999982</v>
      </c>
      <c r="AD90" s="4">
        <f t="shared" si="7"/>
        <v>0</v>
      </c>
      <c r="AE90" s="4">
        <f ca="1">(L90-M90)*(Z90+AA90)+($Z$38+$AA$38-$Z$90-$AA$90)*(L90)</f>
        <v>4.5532495846681913</v>
      </c>
      <c r="AF90" s="3" t="s">
        <v>551</v>
      </c>
    </row>
    <row r="91" spans="1:32" ht="11.25" customHeight="1" x14ac:dyDescent="0.25">
      <c r="A91" s="3" t="s">
        <v>21</v>
      </c>
      <c r="B91" s="3" t="s">
        <v>40</v>
      </c>
      <c r="C91" s="3" t="s">
        <v>23</v>
      </c>
      <c r="D91" s="3" t="s">
        <v>41</v>
      </c>
      <c r="E91" s="3" t="s">
        <v>53</v>
      </c>
      <c r="F91" s="3" t="s">
        <v>51</v>
      </c>
      <c r="G91" s="3" t="s">
        <v>25</v>
      </c>
      <c r="H91" s="3" t="s">
        <v>25</v>
      </c>
      <c r="I91" s="6">
        <v>44652</v>
      </c>
      <c r="J91" s="4">
        <v>0</v>
      </c>
      <c r="K91" s="4">
        <v>0</v>
      </c>
      <c r="L91" s="4">
        <v>0.1</v>
      </c>
      <c r="M91" s="4">
        <v>0.1</v>
      </c>
      <c r="N91" s="4">
        <v>0.1</v>
      </c>
      <c r="O91" s="4">
        <v>0.1</v>
      </c>
      <c r="P91" s="4">
        <v>0</v>
      </c>
      <c r="Q91" s="3" t="s">
        <v>26</v>
      </c>
      <c r="R91" s="3">
        <v>0</v>
      </c>
      <c r="S91" s="3">
        <v>0</v>
      </c>
      <c r="T91" s="3">
        <v>34</v>
      </c>
      <c r="U91" s="3">
        <v>52</v>
      </c>
      <c r="V91" s="4">
        <f>IF(ISERROR(VLOOKUP($S$91,'TAR FIN'!$A$1:$O$88,15,0)),0,VLOOKUP($S$91,'TAR FIN'!$A$1:$O$88,15,0))</f>
        <v>0</v>
      </c>
      <c r="W91" s="4">
        <f>IF(ISERROR(VLOOKUP($T$91,'TAR FIN'!$A$1:$O$88,15,0)),0,VLOOKUP($T$91,'TAR FIN'!$A$1:$O$88,15,0))</f>
        <v>418.93</v>
      </c>
      <c r="X91" s="4">
        <f>IF(ISERROR(VLOOKUP($U$91,'TAR FIN'!$A$1:$O$88,15,0)),0,VLOOKUP($U$91,'TAR FIN'!$A$1:$O$88,15,0))</f>
        <v>145.38</v>
      </c>
      <c r="Y91" s="4"/>
      <c r="Z91" s="4">
        <f ca="1">('TUSD BE'!$AM$33+'TUSD BF'!$AM$33+'TUSD CVA'!$AM$33)*(1-CUSTOS!$M$38)</f>
        <v>497.93087316633921</v>
      </c>
      <c r="AA91" s="4">
        <f>('TE BE'!$AB$23+'TE BF'!$AB$23+'TE CVA'!$AB$23)*(1-CUSTOS!$M$38)</f>
        <v>144.71996911415522</v>
      </c>
      <c r="AB91" s="4">
        <f t="shared" si="6"/>
        <v>0</v>
      </c>
      <c r="AC91" s="4">
        <f>(L91-M91)*(W91+X91)+($W$38+$X$38-$W$91-$X$91)*(L91)</f>
        <v>7.695999999999998</v>
      </c>
      <c r="AD91" s="4">
        <f t="shared" si="7"/>
        <v>0</v>
      </c>
      <c r="AE91" s="4">
        <f ca="1">(L91-M91)*(Z91+AA91)+($Z$38+$AA$38-$Z$91-$AA$91)*(L91)</f>
        <v>4.1020266528542271</v>
      </c>
      <c r="AF91" s="3" t="s">
        <v>551</v>
      </c>
    </row>
    <row r="92" spans="1:32" ht="11.25" customHeight="1" x14ac:dyDescent="0.25">
      <c r="A92" s="3" t="s">
        <v>21</v>
      </c>
      <c r="B92" s="3" t="s">
        <v>40</v>
      </c>
      <c r="C92" s="3" t="s">
        <v>23</v>
      </c>
      <c r="D92" s="3" t="s">
        <v>41</v>
      </c>
      <c r="E92" s="3" t="s">
        <v>53</v>
      </c>
      <c r="F92" s="3" t="s">
        <v>52</v>
      </c>
      <c r="G92" s="3" t="s">
        <v>25</v>
      </c>
      <c r="H92" s="3" t="s">
        <v>25</v>
      </c>
      <c r="I92" s="6">
        <v>44531</v>
      </c>
      <c r="J92" s="4">
        <v>0</v>
      </c>
      <c r="K92" s="4">
        <v>0</v>
      </c>
      <c r="L92" s="4">
        <v>0.33600000000000002</v>
      </c>
      <c r="M92" s="4">
        <v>0.13439999999999999</v>
      </c>
      <c r="N92" s="4">
        <v>0.33600000000000002</v>
      </c>
      <c r="O92" s="4">
        <v>0.13439999999999999</v>
      </c>
      <c r="P92" s="4">
        <v>0</v>
      </c>
      <c r="Q92" s="3" t="s">
        <v>26</v>
      </c>
      <c r="R92" s="3">
        <v>0</v>
      </c>
      <c r="S92" s="3">
        <v>0</v>
      </c>
      <c r="T92" s="3">
        <v>32</v>
      </c>
      <c r="U92" s="3">
        <v>52</v>
      </c>
      <c r="V92" s="4">
        <f>IF(ISERROR(VLOOKUP($S$92,'TAR FIN'!$A$1:$O$88,15,0)),0,VLOOKUP($S$92,'TAR FIN'!$A$1:$O$88,15,0))</f>
        <v>0</v>
      </c>
      <c r="W92" s="4">
        <f>IF(ISERROR(VLOOKUP($T$92,'TAR FIN'!$A$1:$O$88,15,0)),0,VLOOKUP($T$92,'TAR FIN'!$A$1:$O$88,15,0))</f>
        <v>418.93</v>
      </c>
      <c r="X92" s="4">
        <f>IF(ISERROR(VLOOKUP($U$92,'TAR FIN'!$A$1:$O$88,15,0)),0,VLOOKUP($U$92,'TAR FIN'!$A$1:$O$88,15,0))</f>
        <v>145.38</v>
      </c>
      <c r="Y92" s="4"/>
      <c r="Z92" s="4">
        <f ca="1">('TUSD BE'!$AM$33+'TUSD BF'!$AM$33+'TUSD CVA'!$AM$33)*(1-CUSTOS!$M$38)</f>
        <v>497.93087316633921</v>
      </c>
      <c r="AA92" s="4">
        <f>('TE BE'!$AB$23+'TE BF'!$AB$23+'TE CVA'!$AB$23)*(1-CUSTOS!$M$38)</f>
        <v>144.71996911415522</v>
      </c>
      <c r="AB92" s="4">
        <f t="shared" si="6"/>
        <v>0</v>
      </c>
      <c r="AC92" s="4">
        <f>(L92-M92)*(W92+X92)+($W$38+$X$38-$W$92-$X$92)*(L92)</f>
        <v>139.623456</v>
      </c>
      <c r="AD92" s="4">
        <f t="shared" si="7"/>
        <v>0</v>
      </c>
      <c r="AE92" s="4">
        <f ca="1">(L92-M92)*(Z92+AA92)+($Z$38+$AA$38-$Z$92-$AA$92)*(L92)</f>
        <v>143.34121935733791</v>
      </c>
      <c r="AF92" s="3" t="s">
        <v>552</v>
      </c>
    </row>
    <row r="93" spans="1:32" ht="11.25" customHeight="1" x14ac:dyDescent="0.25">
      <c r="A93" s="3" t="s">
        <v>21</v>
      </c>
      <c r="B93" s="3" t="s">
        <v>40</v>
      </c>
      <c r="C93" s="3" t="s">
        <v>23</v>
      </c>
      <c r="D93" s="3" t="s">
        <v>41</v>
      </c>
      <c r="E93" s="3" t="s">
        <v>53</v>
      </c>
      <c r="F93" s="3" t="s">
        <v>52</v>
      </c>
      <c r="G93" s="3" t="s">
        <v>25</v>
      </c>
      <c r="H93" s="3" t="s">
        <v>25</v>
      </c>
      <c r="I93" s="6">
        <v>44562</v>
      </c>
      <c r="J93" s="4">
        <v>0</v>
      </c>
      <c r="K93" s="4">
        <v>0</v>
      </c>
      <c r="L93" s="4">
        <v>8.5000000000000006E-2</v>
      </c>
      <c r="M93" s="4">
        <v>3.4000000000000002E-2</v>
      </c>
      <c r="N93" s="4">
        <v>8.5000000000000006E-2</v>
      </c>
      <c r="O93" s="4">
        <v>3.4000000000000002E-2</v>
      </c>
      <c r="P93" s="4">
        <v>0</v>
      </c>
      <c r="Q93" s="3" t="s">
        <v>26</v>
      </c>
      <c r="R93" s="3">
        <v>0</v>
      </c>
      <c r="S93" s="3">
        <v>0</v>
      </c>
      <c r="T93" s="3">
        <v>32</v>
      </c>
      <c r="U93" s="3">
        <v>52</v>
      </c>
      <c r="V93" s="4">
        <f>IF(ISERROR(VLOOKUP($S$93,'TAR FIN'!$A$1:$O$88,15,0)),0,VLOOKUP($S$93,'TAR FIN'!$A$1:$O$88,15,0))</f>
        <v>0</v>
      </c>
      <c r="W93" s="4">
        <f>IF(ISERROR(VLOOKUP($T$93,'TAR FIN'!$A$1:$O$88,15,0)),0,VLOOKUP($T$93,'TAR FIN'!$A$1:$O$88,15,0))</f>
        <v>418.93</v>
      </c>
      <c r="X93" s="4">
        <f>IF(ISERROR(VLOOKUP($U$93,'TAR FIN'!$A$1:$O$88,15,0)),0,VLOOKUP($U$93,'TAR FIN'!$A$1:$O$88,15,0))</f>
        <v>145.38</v>
      </c>
      <c r="Y93" s="4"/>
      <c r="Z93" s="4">
        <f ca="1">('TUSD BE'!$AM$33+'TUSD BF'!$AM$33+'TUSD CVA'!$AM$33)*(1-CUSTOS!$M$38)</f>
        <v>497.93087316633921</v>
      </c>
      <c r="AA93" s="4">
        <f>('TE BE'!$AB$23+'TE BF'!$AB$23+'TE CVA'!$AB$23)*(1-CUSTOS!$M$38)</f>
        <v>144.71996911415522</v>
      </c>
      <c r="AB93" s="4">
        <f t="shared" si="6"/>
        <v>0</v>
      </c>
      <c r="AC93" s="4">
        <f>(L93-M93)*(W93+X93)+($W$38+$X$38-$W$93-$X$93)*(L93)</f>
        <v>35.32141</v>
      </c>
      <c r="AD93" s="4">
        <f t="shared" si="7"/>
        <v>0</v>
      </c>
      <c r="AE93" s="4">
        <f ca="1">(L93-M93)*(Z93+AA93)+($Z$38+$AA$38-$Z$93-$AA$93)*(L93)</f>
        <v>36.261915611231309</v>
      </c>
      <c r="AF93" s="3" t="s">
        <v>552</v>
      </c>
    </row>
    <row r="94" spans="1:32" ht="11.25" customHeight="1" x14ac:dyDescent="0.25">
      <c r="A94" s="3" t="s">
        <v>21</v>
      </c>
      <c r="B94" s="3" t="s">
        <v>40</v>
      </c>
      <c r="C94" s="3" t="s">
        <v>23</v>
      </c>
      <c r="D94" s="3" t="s">
        <v>41</v>
      </c>
      <c r="E94" s="3" t="s">
        <v>53</v>
      </c>
      <c r="F94" s="3" t="s">
        <v>52</v>
      </c>
      <c r="G94" s="3" t="s">
        <v>25</v>
      </c>
      <c r="H94" s="3" t="s">
        <v>25</v>
      </c>
      <c r="I94" s="6">
        <v>44593</v>
      </c>
      <c r="J94" s="4">
        <v>0</v>
      </c>
      <c r="K94" s="4">
        <v>0</v>
      </c>
      <c r="L94" s="4">
        <v>8.3000000000000004E-2</v>
      </c>
      <c r="M94" s="4">
        <v>3.32E-2</v>
      </c>
      <c r="N94" s="4">
        <v>8.3000000000000004E-2</v>
      </c>
      <c r="O94" s="4">
        <v>3.32E-2</v>
      </c>
      <c r="P94" s="4">
        <v>0</v>
      </c>
      <c r="Q94" s="3" t="s">
        <v>26</v>
      </c>
      <c r="R94" s="3">
        <v>0</v>
      </c>
      <c r="S94" s="3">
        <v>0</v>
      </c>
      <c r="T94" s="3">
        <v>32</v>
      </c>
      <c r="U94" s="3">
        <v>52</v>
      </c>
      <c r="V94" s="4">
        <f>IF(ISERROR(VLOOKUP($S$94,'TAR FIN'!$A$1:$O$88,15,0)),0,VLOOKUP($S$94,'TAR FIN'!$A$1:$O$88,15,0))</f>
        <v>0</v>
      </c>
      <c r="W94" s="4">
        <f>IF(ISERROR(VLOOKUP($T$94,'TAR FIN'!$A$1:$O$88,15,0)),0,VLOOKUP($T$94,'TAR FIN'!$A$1:$O$88,15,0))</f>
        <v>418.93</v>
      </c>
      <c r="X94" s="4">
        <f>IF(ISERROR(VLOOKUP($U$94,'TAR FIN'!$A$1:$O$88,15,0)),0,VLOOKUP($U$94,'TAR FIN'!$A$1:$O$88,15,0))</f>
        <v>145.38</v>
      </c>
      <c r="Y94" s="4"/>
      <c r="Z94" s="4">
        <f ca="1">('TUSD BE'!$AM$33+'TUSD BF'!$AM$33+'TUSD CVA'!$AM$33)*(1-CUSTOS!$M$38)</f>
        <v>497.93087316633921</v>
      </c>
      <c r="AA94" s="4">
        <f>('TE BE'!$AB$23+'TE BF'!$AB$23+'TE CVA'!$AB$23)*(1-CUSTOS!$M$38)</f>
        <v>144.71996911415522</v>
      </c>
      <c r="AB94" s="4">
        <f t="shared" si="6"/>
        <v>0</v>
      </c>
      <c r="AC94" s="4">
        <f>(L94-M94)*(W94+X94)+($W$38+$X$38-$W$94-$X$94)*(L94)</f>
        <v>34.490317999999995</v>
      </c>
      <c r="AD94" s="4">
        <f t="shared" si="7"/>
        <v>0</v>
      </c>
      <c r="AE94" s="4">
        <f ca="1">(L94-M94)*(Z94+AA94)+($Z$38+$AA$38-$Z$94-$AA$94)*(L94)</f>
        <v>35.408694067437636</v>
      </c>
      <c r="AF94" s="3" t="s">
        <v>552</v>
      </c>
    </row>
    <row r="95" spans="1:32" ht="11.25" customHeight="1" x14ac:dyDescent="0.25">
      <c r="A95" s="3" t="s">
        <v>21</v>
      </c>
      <c r="B95" s="3" t="s">
        <v>40</v>
      </c>
      <c r="C95" s="3" t="s">
        <v>23</v>
      </c>
      <c r="D95" s="3" t="s">
        <v>41</v>
      </c>
      <c r="E95" s="3" t="s">
        <v>50</v>
      </c>
      <c r="F95" s="3" t="s">
        <v>51</v>
      </c>
      <c r="G95" s="3" t="s">
        <v>25</v>
      </c>
      <c r="H95" s="3" t="s">
        <v>25</v>
      </c>
      <c r="I95" s="6">
        <v>44440</v>
      </c>
      <c r="J95" s="4">
        <v>0</v>
      </c>
      <c r="K95" s="4">
        <v>0</v>
      </c>
      <c r="L95" s="4">
        <v>0.10100000000000001</v>
      </c>
      <c r="M95" s="4">
        <v>0.10100000000000001</v>
      </c>
      <c r="N95" s="4">
        <v>0.10100000000000001</v>
      </c>
      <c r="O95" s="4">
        <v>0.10100000000000001</v>
      </c>
      <c r="P95" s="4">
        <v>0</v>
      </c>
      <c r="Q95" s="3" t="s">
        <v>26</v>
      </c>
      <c r="R95" s="3">
        <v>0</v>
      </c>
      <c r="S95" s="3">
        <v>0</v>
      </c>
      <c r="T95" s="3">
        <v>34</v>
      </c>
      <c r="U95" s="3">
        <v>52</v>
      </c>
      <c r="V95" s="4">
        <f>IF(ISERROR(VLOOKUP($S$95,'TAR FIN'!$A$1:$O$88,15,0)),0,VLOOKUP($S$95,'TAR FIN'!$A$1:$O$88,15,0))</f>
        <v>0</v>
      </c>
      <c r="W95" s="4">
        <f>IF(ISERROR(VLOOKUP($T$95,'TAR FIN'!$A$1:$O$88,15,0)),0,VLOOKUP($T$95,'TAR FIN'!$A$1:$O$88,15,0))</f>
        <v>418.93</v>
      </c>
      <c r="X95" s="4">
        <f>IF(ISERROR(VLOOKUP($U$95,'TAR FIN'!$A$1:$O$88,15,0)),0,VLOOKUP($U$95,'TAR FIN'!$A$1:$O$88,15,0))</f>
        <v>145.38</v>
      </c>
      <c r="Y95" s="4"/>
      <c r="Z95" s="4">
        <f ca="1">('TUSD BE'!$AM$33+'TUSD BF'!$AM$33+'TUSD CVA'!$AM$33)*(1-CUSTOS!$M$38)</f>
        <v>497.93087316633921</v>
      </c>
      <c r="AA95" s="4">
        <f>('TE BE'!$AB$23+'TE BF'!$AB$23+'TE CVA'!$AB$23)*(1-CUSTOS!$M$38)</f>
        <v>144.71996911415522</v>
      </c>
      <c r="AB95" s="4">
        <f t="shared" si="6"/>
        <v>0</v>
      </c>
      <c r="AC95" s="4">
        <f>(L95-M95)*(W95+X95)+($W$38+$X$38-$W$95-$X$95)*(L95)</f>
        <v>7.7729599999999985</v>
      </c>
      <c r="AD95" s="4">
        <f t="shared" si="7"/>
        <v>0</v>
      </c>
      <c r="AE95" s="4">
        <f ca="1">(L95-M95)*(Z95+AA95)+($Z$38+$AA$38-$Z$95-$AA$95)*(L95)</f>
        <v>4.143046919382769</v>
      </c>
      <c r="AF95" s="3" t="s">
        <v>551</v>
      </c>
    </row>
    <row r="96" spans="1:32" ht="11.25" customHeight="1" x14ac:dyDescent="0.25">
      <c r="A96" s="3" t="s">
        <v>21</v>
      </c>
      <c r="B96" s="3" t="s">
        <v>40</v>
      </c>
      <c r="C96" s="3" t="s">
        <v>23</v>
      </c>
      <c r="D96" s="3" t="s">
        <v>41</v>
      </c>
      <c r="E96" s="3" t="s">
        <v>50</v>
      </c>
      <c r="F96" s="3" t="s">
        <v>51</v>
      </c>
      <c r="G96" s="3" t="s">
        <v>25</v>
      </c>
      <c r="H96" s="3" t="s">
        <v>25</v>
      </c>
      <c r="I96" s="6">
        <v>44470</v>
      </c>
      <c r="J96" s="4">
        <v>0</v>
      </c>
      <c r="K96" s="4">
        <v>0</v>
      </c>
      <c r="L96" s="4">
        <v>8.7999999999999995E-2</v>
      </c>
      <c r="M96" s="4">
        <v>8.7999999999999995E-2</v>
      </c>
      <c r="N96" s="4">
        <v>8.7999999999999995E-2</v>
      </c>
      <c r="O96" s="4">
        <v>8.7999999999999995E-2</v>
      </c>
      <c r="P96" s="4">
        <v>0</v>
      </c>
      <c r="Q96" s="3" t="s">
        <v>26</v>
      </c>
      <c r="R96" s="3">
        <v>0</v>
      </c>
      <c r="S96" s="3">
        <v>0</v>
      </c>
      <c r="T96" s="3">
        <v>34</v>
      </c>
      <c r="U96" s="3">
        <v>52</v>
      </c>
      <c r="V96" s="4">
        <f>IF(ISERROR(VLOOKUP($S$96,'TAR FIN'!$A$1:$O$88,15,0)),0,VLOOKUP($S$96,'TAR FIN'!$A$1:$O$88,15,0))</f>
        <v>0</v>
      </c>
      <c r="W96" s="4">
        <f>IF(ISERROR(VLOOKUP($T$96,'TAR FIN'!$A$1:$O$88,15,0)),0,VLOOKUP($T$96,'TAR FIN'!$A$1:$O$88,15,0))</f>
        <v>418.93</v>
      </c>
      <c r="X96" s="4">
        <f>IF(ISERROR(VLOOKUP($U$96,'TAR FIN'!$A$1:$O$88,15,0)),0,VLOOKUP($U$96,'TAR FIN'!$A$1:$O$88,15,0))</f>
        <v>145.38</v>
      </c>
      <c r="Y96" s="4"/>
      <c r="Z96" s="4">
        <f ca="1">('TUSD BE'!$AM$33+'TUSD BF'!$AM$33+'TUSD CVA'!$AM$33)*(1-CUSTOS!$M$38)</f>
        <v>497.93087316633921</v>
      </c>
      <c r="AA96" s="4">
        <f>('TE BE'!$AB$23+'TE BF'!$AB$23+'TE CVA'!$AB$23)*(1-CUSTOS!$M$38)</f>
        <v>144.71996911415522</v>
      </c>
      <c r="AB96" s="4">
        <f t="shared" si="6"/>
        <v>0</v>
      </c>
      <c r="AC96" s="4">
        <f>(L96-M96)*(W96+X96)+($W$38+$X$38-$W$96-$X$96)*(L96)</f>
        <v>6.7724799999999981</v>
      </c>
      <c r="AD96" s="4">
        <f t="shared" si="7"/>
        <v>0</v>
      </c>
      <c r="AE96" s="4">
        <f ca="1">(L96-M96)*(Z96+AA96)+($Z$38+$AA$38-$Z$96-$AA$96)*(L96)</f>
        <v>3.6097834545117191</v>
      </c>
      <c r="AF96" s="3" t="s">
        <v>551</v>
      </c>
    </row>
    <row r="97" spans="1:32" ht="11.25" customHeight="1" x14ac:dyDescent="0.25">
      <c r="A97" s="3" t="s">
        <v>21</v>
      </c>
      <c r="B97" s="3" t="s">
        <v>40</v>
      </c>
      <c r="C97" s="3" t="s">
        <v>23</v>
      </c>
      <c r="D97" s="3" t="s">
        <v>41</v>
      </c>
      <c r="E97" s="3" t="s">
        <v>50</v>
      </c>
      <c r="F97" s="3" t="s">
        <v>51</v>
      </c>
      <c r="G97" s="3" t="s">
        <v>25</v>
      </c>
      <c r="H97" s="3" t="s">
        <v>25</v>
      </c>
      <c r="I97" s="6">
        <v>44501</v>
      </c>
      <c r="J97" s="4">
        <v>0</v>
      </c>
      <c r="K97" s="4">
        <v>0</v>
      </c>
      <c r="L97" s="4">
        <v>0.124</v>
      </c>
      <c r="M97" s="4">
        <v>0.124</v>
      </c>
      <c r="N97" s="4">
        <v>0.124</v>
      </c>
      <c r="O97" s="4">
        <v>0.124</v>
      </c>
      <c r="P97" s="4">
        <v>0</v>
      </c>
      <c r="Q97" s="3" t="s">
        <v>26</v>
      </c>
      <c r="R97" s="3">
        <v>0</v>
      </c>
      <c r="S97" s="3">
        <v>0</v>
      </c>
      <c r="T97" s="3">
        <v>34</v>
      </c>
      <c r="U97" s="3">
        <v>52</v>
      </c>
      <c r="V97" s="4">
        <f>IF(ISERROR(VLOOKUP($S$97,'TAR FIN'!$A$1:$O$88,15,0)),0,VLOOKUP($S$97,'TAR FIN'!$A$1:$O$88,15,0))</f>
        <v>0</v>
      </c>
      <c r="W97" s="4">
        <f>IF(ISERROR(VLOOKUP($T$97,'TAR FIN'!$A$1:$O$88,15,0)),0,VLOOKUP($T$97,'TAR FIN'!$A$1:$O$88,15,0))</f>
        <v>418.93</v>
      </c>
      <c r="X97" s="4">
        <f>IF(ISERROR(VLOOKUP($U$97,'TAR FIN'!$A$1:$O$88,15,0)),0,VLOOKUP($U$97,'TAR FIN'!$A$1:$O$88,15,0))</f>
        <v>145.38</v>
      </c>
      <c r="Y97" s="4"/>
      <c r="Z97" s="4">
        <f ca="1">('TUSD BE'!$AM$33+'TUSD BF'!$AM$33+'TUSD CVA'!$AM$33)*(1-CUSTOS!$M$38)</f>
        <v>497.93087316633921</v>
      </c>
      <c r="AA97" s="4">
        <f>('TE BE'!$AB$23+'TE BF'!$AB$23+'TE CVA'!$AB$23)*(1-CUSTOS!$M$38)</f>
        <v>144.71996911415522</v>
      </c>
      <c r="AB97" s="4">
        <f t="shared" si="6"/>
        <v>0</v>
      </c>
      <c r="AC97" s="4">
        <f>(L97-M97)*(W97+X97)+($W$38+$X$38-$W$97-$X$97)*(L97)</f>
        <v>9.5430399999999977</v>
      </c>
      <c r="AD97" s="4">
        <f t="shared" si="7"/>
        <v>0</v>
      </c>
      <c r="AE97" s="4">
        <f ca="1">(L97-M97)*(Z97+AA97)+($Z$38+$AA$38-$Z$97-$AA$97)*(L97)</f>
        <v>5.0865130495392412</v>
      </c>
      <c r="AF97" s="3" t="s">
        <v>551</v>
      </c>
    </row>
    <row r="98" spans="1:32" ht="11.25" customHeight="1" x14ac:dyDescent="0.25">
      <c r="A98" s="3" t="s">
        <v>21</v>
      </c>
      <c r="B98" s="3" t="s">
        <v>40</v>
      </c>
      <c r="C98" s="3" t="s">
        <v>23</v>
      </c>
      <c r="D98" s="3" t="s">
        <v>41</v>
      </c>
      <c r="E98" s="3" t="s">
        <v>50</v>
      </c>
      <c r="F98" s="3" t="s">
        <v>51</v>
      </c>
      <c r="G98" s="3" t="s">
        <v>25</v>
      </c>
      <c r="H98" s="3" t="s">
        <v>25</v>
      </c>
      <c r="I98" s="6">
        <v>44531</v>
      </c>
      <c r="J98" s="4">
        <v>0</v>
      </c>
      <c r="K98" s="4">
        <v>0</v>
      </c>
      <c r="L98" s="4">
        <v>0.498</v>
      </c>
      <c r="M98" s="4">
        <v>0.498</v>
      </c>
      <c r="N98" s="4">
        <v>0.498</v>
      </c>
      <c r="O98" s="4">
        <v>0.498</v>
      </c>
      <c r="P98" s="4">
        <v>0</v>
      </c>
      <c r="Q98" s="3" t="s">
        <v>26</v>
      </c>
      <c r="R98" s="3">
        <v>0</v>
      </c>
      <c r="S98" s="3">
        <v>0</v>
      </c>
      <c r="T98" s="3">
        <v>34</v>
      </c>
      <c r="U98" s="3">
        <v>52</v>
      </c>
      <c r="V98" s="4">
        <f>IF(ISERROR(VLOOKUP($S$98,'TAR FIN'!$A$1:$O$88,15,0)),0,VLOOKUP($S$98,'TAR FIN'!$A$1:$O$88,15,0))</f>
        <v>0</v>
      </c>
      <c r="W98" s="4">
        <f>IF(ISERROR(VLOOKUP($T$98,'TAR FIN'!$A$1:$O$88,15,0)),0,VLOOKUP($T$98,'TAR FIN'!$A$1:$O$88,15,0))</f>
        <v>418.93</v>
      </c>
      <c r="X98" s="4">
        <f>IF(ISERROR(VLOOKUP($U$98,'TAR FIN'!$A$1:$O$88,15,0)),0,VLOOKUP($U$98,'TAR FIN'!$A$1:$O$88,15,0))</f>
        <v>145.38</v>
      </c>
      <c r="Y98" s="4"/>
      <c r="Z98" s="4">
        <f ca="1">('TUSD BE'!$AM$33+'TUSD BF'!$AM$33+'TUSD CVA'!$AM$33)*(1-CUSTOS!$M$38)</f>
        <v>497.93087316633921</v>
      </c>
      <c r="AA98" s="4">
        <f>('TE BE'!$AB$23+'TE BF'!$AB$23+'TE CVA'!$AB$23)*(1-CUSTOS!$M$38)</f>
        <v>144.71996911415522</v>
      </c>
      <c r="AB98" s="4">
        <f t="shared" ref="AB98:AB129" si="8">(J98-K98)*V98</f>
        <v>0</v>
      </c>
      <c r="AC98" s="4">
        <f>(L98-M98)*(W98+X98)+($W$38+$X$38-$W$98-$X$98)*(L98)</f>
        <v>38.32607999999999</v>
      </c>
      <c r="AD98" s="4">
        <f t="shared" ref="AD98:AD129" si="9">(J98-K98)*Y98</f>
        <v>0</v>
      </c>
      <c r="AE98" s="4">
        <f ca="1">(L98-M98)*(Z98+AA98)+($Z$38+$AA$38-$Z$98-$AA$98)*(L98)</f>
        <v>20.428092731214047</v>
      </c>
      <c r="AF98" s="3" t="s">
        <v>551</v>
      </c>
    </row>
    <row r="99" spans="1:32" ht="11.25" customHeight="1" x14ac:dyDescent="0.25">
      <c r="A99" s="3" t="s">
        <v>21</v>
      </c>
      <c r="B99" s="3" t="s">
        <v>40</v>
      </c>
      <c r="C99" s="3" t="s">
        <v>23</v>
      </c>
      <c r="D99" s="3" t="s">
        <v>41</v>
      </c>
      <c r="E99" s="3" t="s">
        <v>50</v>
      </c>
      <c r="F99" s="3" t="s">
        <v>51</v>
      </c>
      <c r="G99" s="3" t="s">
        <v>25</v>
      </c>
      <c r="H99" s="3" t="s">
        <v>25</v>
      </c>
      <c r="I99" s="6">
        <v>44562</v>
      </c>
      <c r="J99" s="4">
        <v>0</v>
      </c>
      <c r="K99" s="4">
        <v>0</v>
      </c>
      <c r="L99" s="4">
        <v>0.59199999999999997</v>
      </c>
      <c r="M99" s="4">
        <v>0.59199999999999997</v>
      </c>
      <c r="N99" s="4">
        <v>0.59199999999999997</v>
      </c>
      <c r="O99" s="4">
        <v>0.59199999999999997</v>
      </c>
      <c r="P99" s="4">
        <v>0</v>
      </c>
      <c r="Q99" s="3" t="s">
        <v>26</v>
      </c>
      <c r="R99" s="3">
        <v>0</v>
      </c>
      <c r="S99" s="3">
        <v>0</v>
      </c>
      <c r="T99" s="3">
        <v>34</v>
      </c>
      <c r="U99" s="3">
        <v>52</v>
      </c>
      <c r="V99" s="4">
        <f>IF(ISERROR(VLOOKUP($S$99,'TAR FIN'!$A$1:$O$88,15,0)),0,VLOOKUP($S$99,'TAR FIN'!$A$1:$O$88,15,0))</f>
        <v>0</v>
      </c>
      <c r="W99" s="4">
        <f>IF(ISERROR(VLOOKUP($T$99,'TAR FIN'!$A$1:$O$88,15,0)),0,VLOOKUP($T$99,'TAR FIN'!$A$1:$O$88,15,0))</f>
        <v>418.93</v>
      </c>
      <c r="X99" s="4">
        <f>IF(ISERROR(VLOOKUP($U$99,'TAR FIN'!$A$1:$O$88,15,0)),0,VLOOKUP($U$99,'TAR FIN'!$A$1:$O$88,15,0))</f>
        <v>145.38</v>
      </c>
      <c r="Y99" s="4"/>
      <c r="Z99" s="4">
        <f ca="1">('TUSD BE'!$AM$33+'TUSD BF'!$AM$33+'TUSD CVA'!$AM$33)*(1-CUSTOS!$M$38)</f>
        <v>497.93087316633921</v>
      </c>
      <c r="AA99" s="4">
        <f>('TE BE'!$AB$23+'TE BF'!$AB$23+'TE CVA'!$AB$23)*(1-CUSTOS!$M$38)</f>
        <v>144.71996911415522</v>
      </c>
      <c r="AB99" s="4">
        <f t="shared" si="8"/>
        <v>0</v>
      </c>
      <c r="AC99" s="4">
        <f>(L99-M99)*(W99+X99)+($W$38+$X$38-$W$99-$X$99)*(L99)</f>
        <v>45.560319999999983</v>
      </c>
      <c r="AD99" s="4">
        <f t="shared" si="9"/>
        <v>0</v>
      </c>
      <c r="AE99" s="4">
        <f ca="1">(L99-M99)*(Z99+AA99)+($Z$38+$AA$38-$Z$99-$AA$99)*(L99)</f>
        <v>24.283997784897021</v>
      </c>
      <c r="AF99" s="3" t="s">
        <v>551</v>
      </c>
    </row>
    <row r="100" spans="1:32" ht="11.25" customHeight="1" x14ac:dyDescent="0.25">
      <c r="A100" s="3" t="s">
        <v>21</v>
      </c>
      <c r="B100" s="3" t="s">
        <v>40</v>
      </c>
      <c r="C100" s="3" t="s">
        <v>23</v>
      </c>
      <c r="D100" s="3" t="s">
        <v>41</v>
      </c>
      <c r="E100" s="3" t="s">
        <v>50</v>
      </c>
      <c r="F100" s="3" t="s">
        <v>51</v>
      </c>
      <c r="G100" s="3" t="s">
        <v>25</v>
      </c>
      <c r="H100" s="3" t="s">
        <v>25</v>
      </c>
      <c r="I100" s="6">
        <v>44593</v>
      </c>
      <c r="J100" s="4">
        <v>0</v>
      </c>
      <c r="K100" s="4">
        <v>0</v>
      </c>
      <c r="L100" s="4">
        <v>0.72699999999999998</v>
      </c>
      <c r="M100" s="4">
        <v>0.72699999999999998</v>
      </c>
      <c r="N100" s="4">
        <v>0.72699999999999998</v>
      </c>
      <c r="O100" s="4">
        <v>0.72699999999999998</v>
      </c>
      <c r="P100" s="4">
        <v>0</v>
      </c>
      <c r="Q100" s="3" t="s">
        <v>26</v>
      </c>
      <c r="R100" s="3">
        <v>0</v>
      </c>
      <c r="S100" s="3">
        <v>0</v>
      </c>
      <c r="T100" s="3">
        <v>34</v>
      </c>
      <c r="U100" s="3">
        <v>52</v>
      </c>
      <c r="V100" s="4">
        <f>IF(ISERROR(VLOOKUP($S$100,'TAR FIN'!$A$1:$O$88,15,0)),0,VLOOKUP($S$100,'TAR FIN'!$A$1:$O$88,15,0))</f>
        <v>0</v>
      </c>
      <c r="W100" s="4">
        <f>IF(ISERROR(VLOOKUP($T$100,'TAR FIN'!$A$1:$O$88,15,0)),0,VLOOKUP($T$100,'TAR FIN'!$A$1:$O$88,15,0))</f>
        <v>418.93</v>
      </c>
      <c r="X100" s="4">
        <f>IF(ISERROR(VLOOKUP($U$100,'TAR FIN'!$A$1:$O$88,15,0)),0,VLOOKUP($U$100,'TAR FIN'!$A$1:$O$88,15,0))</f>
        <v>145.38</v>
      </c>
      <c r="Y100" s="4"/>
      <c r="Z100" s="4">
        <f ca="1">('TUSD BE'!$AM$33+'TUSD BF'!$AM$33+'TUSD CVA'!$AM$33)*(1-CUSTOS!$M$38)</f>
        <v>497.93087316633921</v>
      </c>
      <c r="AA100" s="4">
        <f>('TE BE'!$AB$23+'TE BF'!$AB$23+'TE CVA'!$AB$23)*(1-CUSTOS!$M$38)</f>
        <v>144.71996911415522</v>
      </c>
      <c r="AB100" s="4">
        <f t="shared" si="8"/>
        <v>0</v>
      </c>
      <c r="AC100" s="4">
        <f>(L100-M100)*(W100+X100)+($W$38+$X$38-$W$100-$X$100)*(L100)</f>
        <v>55.949919999999985</v>
      </c>
      <c r="AD100" s="4">
        <f t="shared" si="9"/>
        <v>0</v>
      </c>
      <c r="AE100" s="4">
        <f ca="1">(L100-M100)*(Z100+AA100)+($Z$38+$AA$38-$Z$100-$AA$100)*(L100)</f>
        <v>29.821733766250226</v>
      </c>
      <c r="AF100" s="3" t="s">
        <v>551</v>
      </c>
    </row>
    <row r="101" spans="1:32" ht="11.25" customHeight="1" x14ac:dyDescent="0.25">
      <c r="A101" s="3" t="s">
        <v>21</v>
      </c>
      <c r="B101" s="3" t="s">
        <v>40</v>
      </c>
      <c r="C101" s="3" t="s">
        <v>23</v>
      </c>
      <c r="D101" s="3" t="s">
        <v>41</v>
      </c>
      <c r="E101" s="3" t="s">
        <v>50</v>
      </c>
      <c r="F101" s="3" t="s">
        <v>51</v>
      </c>
      <c r="G101" s="3" t="s">
        <v>25</v>
      </c>
      <c r="H101" s="3" t="s">
        <v>25</v>
      </c>
      <c r="I101" s="6">
        <v>44621</v>
      </c>
      <c r="J101" s="4">
        <v>0</v>
      </c>
      <c r="K101" s="4">
        <v>0</v>
      </c>
      <c r="L101" s="4">
        <v>0.96099999999999997</v>
      </c>
      <c r="M101" s="4">
        <v>0.96099999999999997</v>
      </c>
      <c r="N101" s="4">
        <v>0.96099999999999997</v>
      </c>
      <c r="O101" s="4">
        <v>0.96099999999999997</v>
      </c>
      <c r="P101" s="4">
        <v>0</v>
      </c>
      <c r="Q101" s="3" t="s">
        <v>26</v>
      </c>
      <c r="R101" s="3">
        <v>0</v>
      </c>
      <c r="S101" s="3">
        <v>0</v>
      </c>
      <c r="T101" s="3">
        <v>34</v>
      </c>
      <c r="U101" s="3">
        <v>52</v>
      </c>
      <c r="V101" s="4">
        <f>IF(ISERROR(VLOOKUP($S$101,'TAR FIN'!$A$1:$O$88,15,0)),0,VLOOKUP($S$101,'TAR FIN'!$A$1:$O$88,15,0))</f>
        <v>0</v>
      </c>
      <c r="W101" s="4">
        <f>IF(ISERROR(VLOOKUP($T$101,'TAR FIN'!$A$1:$O$88,15,0)),0,VLOOKUP($T$101,'TAR FIN'!$A$1:$O$88,15,0))</f>
        <v>418.93</v>
      </c>
      <c r="X101" s="4">
        <f>IF(ISERROR(VLOOKUP($U$101,'TAR FIN'!$A$1:$O$88,15,0)),0,VLOOKUP($U$101,'TAR FIN'!$A$1:$O$88,15,0))</f>
        <v>145.38</v>
      </c>
      <c r="Y101" s="4"/>
      <c r="Z101" s="4">
        <f ca="1">('TUSD BE'!$AM$33+'TUSD BF'!$AM$33+'TUSD CVA'!$AM$33)*(1-CUSTOS!$M$38)</f>
        <v>497.93087316633921</v>
      </c>
      <c r="AA101" s="4">
        <f>('TE BE'!$AB$23+'TE BF'!$AB$23+'TE CVA'!$AB$23)*(1-CUSTOS!$M$38)</f>
        <v>144.71996911415522</v>
      </c>
      <c r="AB101" s="4">
        <f t="shared" si="8"/>
        <v>0</v>
      </c>
      <c r="AC101" s="4">
        <f>(L101-M101)*(W101+X101)+($W$38+$X$38-$W$101-$X$101)*(L101)</f>
        <v>73.958559999999977</v>
      </c>
      <c r="AD101" s="4">
        <f t="shared" si="9"/>
        <v>0</v>
      </c>
      <c r="AE101" s="4">
        <f ca="1">(L101-M101)*(Z101+AA101)+($Z$38+$AA$38-$Z$101-$AA$101)*(L101)</f>
        <v>39.420476133929114</v>
      </c>
      <c r="AF101" s="3" t="s">
        <v>551</v>
      </c>
    </row>
    <row r="102" spans="1:32" ht="11.25" customHeight="1" x14ac:dyDescent="0.25">
      <c r="A102" s="3" t="s">
        <v>21</v>
      </c>
      <c r="B102" s="3" t="s">
        <v>40</v>
      </c>
      <c r="C102" s="3" t="s">
        <v>23</v>
      </c>
      <c r="D102" s="3" t="s">
        <v>41</v>
      </c>
      <c r="E102" s="3" t="s">
        <v>50</v>
      </c>
      <c r="F102" s="3" t="s">
        <v>51</v>
      </c>
      <c r="G102" s="3" t="s">
        <v>25</v>
      </c>
      <c r="H102" s="3" t="s">
        <v>25</v>
      </c>
      <c r="I102" s="6">
        <v>44652</v>
      </c>
      <c r="J102" s="4">
        <v>0</v>
      </c>
      <c r="K102" s="4">
        <v>0</v>
      </c>
      <c r="L102" s="4">
        <v>0.92700000000000005</v>
      </c>
      <c r="M102" s="4">
        <v>0.92700000000000005</v>
      </c>
      <c r="N102" s="4">
        <v>0.92700000000000005</v>
      </c>
      <c r="O102" s="4">
        <v>0.92700000000000005</v>
      </c>
      <c r="P102" s="4">
        <v>0</v>
      </c>
      <c r="Q102" s="3" t="s">
        <v>26</v>
      </c>
      <c r="R102" s="3">
        <v>0</v>
      </c>
      <c r="S102" s="3">
        <v>0</v>
      </c>
      <c r="T102" s="3">
        <v>34</v>
      </c>
      <c r="U102" s="3">
        <v>52</v>
      </c>
      <c r="V102" s="4">
        <f>IF(ISERROR(VLOOKUP($S$102,'TAR FIN'!$A$1:$O$88,15,0)),0,VLOOKUP($S$102,'TAR FIN'!$A$1:$O$88,15,0))</f>
        <v>0</v>
      </c>
      <c r="W102" s="4">
        <f>IF(ISERROR(VLOOKUP($T$102,'TAR FIN'!$A$1:$O$88,15,0)),0,VLOOKUP($T$102,'TAR FIN'!$A$1:$O$88,15,0))</f>
        <v>418.93</v>
      </c>
      <c r="X102" s="4">
        <f>IF(ISERROR(VLOOKUP($U$102,'TAR FIN'!$A$1:$O$88,15,0)),0,VLOOKUP($U$102,'TAR FIN'!$A$1:$O$88,15,0))</f>
        <v>145.38</v>
      </c>
      <c r="Y102" s="4"/>
      <c r="Z102" s="4">
        <f ca="1">('TUSD BE'!$AM$33+'TUSD BF'!$AM$33+'TUSD CVA'!$AM$33)*(1-CUSTOS!$M$38)</f>
        <v>497.93087316633921</v>
      </c>
      <c r="AA102" s="4">
        <f>('TE BE'!$AB$23+'TE BF'!$AB$23+'TE CVA'!$AB$23)*(1-CUSTOS!$M$38)</f>
        <v>144.71996911415522</v>
      </c>
      <c r="AB102" s="4">
        <f t="shared" si="8"/>
        <v>0</v>
      </c>
      <c r="AC102" s="4">
        <f>(L102-M102)*(W102+X102)+($W$38+$X$38-$W$102-$X$102)*(L102)</f>
        <v>71.341919999999988</v>
      </c>
      <c r="AD102" s="4">
        <f t="shared" si="9"/>
        <v>0</v>
      </c>
      <c r="AE102" s="4">
        <f ca="1">(L102-M102)*(Z102+AA102)+($Z$38+$AA$38-$Z$102-$AA$102)*(L102)</f>
        <v>38.025787071958682</v>
      </c>
      <c r="AF102" s="3" t="s">
        <v>551</v>
      </c>
    </row>
    <row r="103" spans="1:32" ht="11.25" customHeight="1" x14ac:dyDescent="0.25">
      <c r="A103" s="3" t="s">
        <v>21</v>
      </c>
      <c r="B103" s="3" t="s">
        <v>40</v>
      </c>
      <c r="C103" s="3" t="s">
        <v>23</v>
      </c>
      <c r="D103" s="3" t="s">
        <v>41</v>
      </c>
      <c r="E103" s="3" t="s">
        <v>50</v>
      </c>
      <c r="F103" s="3" t="s">
        <v>51</v>
      </c>
      <c r="G103" s="3" t="s">
        <v>25</v>
      </c>
      <c r="H103" s="3" t="s">
        <v>25</v>
      </c>
      <c r="I103" s="6">
        <v>44682</v>
      </c>
      <c r="J103" s="4">
        <v>0</v>
      </c>
      <c r="K103" s="4">
        <v>0</v>
      </c>
      <c r="L103" s="4">
        <v>1.026</v>
      </c>
      <c r="M103" s="4">
        <v>1.026</v>
      </c>
      <c r="N103" s="4">
        <v>1.026</v>
      </c>
      <c r="O103" s="4">
        <v>1.026</v>
      </c>
      <c r="P103" s="4">
        <v>0</v>
      </c>
      <c r="Q103" s="3" t="s">
        <v>26</v>
      </c>
      <c r="R103" s="3">
        <v>0</v>
      </c>
      <c r="S103" s="3">
        <v>0</v>
      </c>
      <c r="T103" s="3">
        <v>34</v>
      </c>
      <c r="U103" s="3">
        <v>52</v>
      </c>
      <c r="V103" s="4">
        <f>IF(ISERROR(VLOOKUP($S$103,'TAR FIN'!$A$1:$O$88,15,0)),0,VLOOKUP($S$103,'TAR FIN'!$A$1:$O$88,15,0))</f>
        <v>0</v>
      </c>
      <c r="W103" s="4">
        <f>IF(ISERROR(VLOOKUP($T$103,'TAR FIN'!$A$1:$O$88,15,0)),0,VLOOKUP($T$103,'TAR FIN'!$A$1:$O$88,15,0))</f>
        <v>418.93</v>
      </c>
      <c r="X103" s="4">
        <f>IF(ISERROR(VLOOKUP($U$103,'TAR FIN'!$A$1:$O$88,15,0)),0,VLOOKUP($U$103,'TAR FIN'!$A$1:$O$88,15,0))</f>
        <v>145.38</v>
      </c>
      <c r="Y103" s="4"/>
      <c r="Z103" s="4">
        <f ca="1">('TUSD BE'!$AM$33+'TUSD BF'!$AM$33+'TUSD CVA'!$AM$33)*(1-CUSTOS!$M$38)</f>
        <v>497.93087316633921</v>
      </c>
      <c r="AA103" s="4">
        <f>('TE BE'!$AB$23+'TE BF'!$AB$23+'TE CVA'!$AB$23)*(1-CUSTOS!$M$38)</f>
        <v>144.71996911415522</v>
      </c>
      <c r="AB103" s="4">
        <f t="shared" si="8"/>
        <v>0</v>
      </c>
      <c r="AC103" s="4">
        <f>(L103-M103)*(W103+X103)+($W$38+$X$38-$W$103-$X$103)*(L103)</f>
        <v>78.960959999999986</v>
      </c>
      <c r="AD103" s="4">
        <f t="shared" si="9"/>
        <v>0</v>
      </c>
      <c r="AE103" s="4">
        <f ca="1">(L103-M103)*(Z103+AA103)+($Z$38+$AA$38-$Z$103-$AA$103)*(L103)</f>
        <v>42.086793458284369</v>
      </c>
      <c r="AF103" s="3" t="s">
        <v>551</v>
      </c>
    </row>
    <row r="104" spans="1:32" ht="11.25" customHeight="1" x14ac:dyDescent="0.25">
      <c r="A104" s="3" t="s">
        <v>21</v>
      </c>
      <c r="B104" s="3" t="s">
        <v>40</v>
      </c>
      <c r="C104" s="3" t="s">
        <v>23</v>
      </c>
      <c r="D104" s="3" t="s">
        <v>41</v>
      </c>
      <c r="E104" s="3" t="s">
        <v>50</v>
      </c>
      <c r="F104" s="3" t="s">
        <v>51</v>
      </c>
      <c r="G104" s="3" t="s">
        <v>25</v>
      </c>
      <c r="H104" s="3" t="s">
        <v>25</v>
      </c>
      <c r="I104" s="6">
        <v>44713</v>
      </c>
      <c r="J104" s="4">
        <v>0</v>
      </c>
      <c r="K104" s="4">
        <v>0</v>
      </c>
      <c r="L104" s="4">
        <v>1.052</v>
      </c>
      <c r="M104" s="4">
        <v>1.052</v>
      </c>
      <c r="N104" s="4">
        <v>1.052</v>
      </c>
      <c r="O104" s="4">
        <v>1.052</v>
      </c>
      <c r="P104" s="4">
        <v>0</v>
      </c>
      <c r="Q104" s="3" t="s">
        <v>26</v>
      </c>
      <c r="R104" s="3">
        <v>0</v>
      </c>
      <c r="S104" s="3">
        <v>0</v>
      </c>
      <c r="T104" s="3">
        <v>34</v>
      </c>
      <c r="U104" s="3">
        <v>52</v>
      </c>
      <c r="V104" s="4">
        <f>IF(ISERROR(VLOOKUP($S$104,'TAR FIN'!$A$1:$O$88,15,0)),0,VLOOKUP($S$104,'TAR FIN'!$A$1:$O$88,15,0))</f>
        <v>0</v>
      </c>
      <c r="W104" s="4">
        <f>IF(ISERROR(VLOOKUP($T$104,'TAR FIN'!$A$1:$O$88,15,0)),0,VLOOKUP($T$104,'TAR FIN'!$A$1:$O$88,15,0))</f>
        <v>418.93</v>
      </c>
      <c r="X104" s="4">
        <f>IF(ISERROR(VLOOKUP($U$104,'TAR FIN'!$A$1:$O$88,15,0)),0,VLOOKUP($U$104,'TAR FIN'!$A$1:$O$88,15,0))</f>
        <v>145.38</v>
      </c>
      <c r="Y104" s="4"/>
      <c r="Z104" s="4">
        <f ca="1">('TUSD BE'!$AM$33+'TUSD BF'!$AM$33+'TUSD CVA'!$AM$33)*(1-CUSTOS!$M$38)</f>
        <v>497.93087316633921</v>
      </c>
      <c r="AA104" s="4">
        <f>('TE BE'!$AB$23+'TE BF'!$AB$23+'TE CVA'!$AB$23)*(1-CUSTOS!$M$38)</f>
        <v>144.71996911415522</v>
      </c>
      <c r="AB104" s="4">
        <f t="shared" si="8"/>
        <v>0</v>
      </c>
      <c r="AC104" s="4">
        <f>(L104-M104)*(W104+X104)+($W$38+$X$38-$W$104-$X$104)*(L104)</f>
        <v>80.961919999999978</v>
      </c>
      <c r="AD104" s="4">
        <f t="shared" si="9"/>
        <v>0</v>
      </c>
      <c r="AE104" s="4">
        <f ca="1">(L104-M104)*(Z104+AA104)+($Z$38+$AA$38-$Z$104-$AA$104)*(L104)</f>
        <v>43.153320388026465</v>
      </c>
      <c r="AF104" s="3" t="s">
        <v>551</v>
      </c>
    </row>
    <row r="105" spans="1:32" ht="11.25" customHeight="1" x14ac:dyDescent="0.25">
      <c r="A105" s="3" t="s">
        <v>21</v>
      </c>
      <c r="B105" s="3" t="s">
        <v>40</v>
      </c>
      <c r="C105" s="3" t="s">
        <v>23</v>
      </c>
      <c r="D105" s="3" t="s">
        <v>41</v>
      </c>
      <c r="E105" s="3" t="s">
        <v>50</v>
      </c>
      <c r="F105" s="3" t="s">
        <v>51</v>
      </c>
      <c r="G105" s="3" t="s">
        <v>25</v>
      </c>
      <c r="H105" s="3" t="s">
        <v>25</v>
      </c>
      <c r="I105" s="6">
        <v>44743</v>
      </c>
      <c r="J105" s="4">
        <v>0</v>
      </c>
      <c r="K105" s="4">
        <v>0</v>
      </c>
      <c r="L105" s="4">
        <v>0.86399999999999999</v>
      </c>
      <c r="M105" s="4">
        <v>0.86399999999999999</v>
      </c>
      <c r="N105" s="4">
        <v>0.86399999999999999</v>
      </c>
      <c r="O105" s="4">
        <v>0.86399999999999999</v>
      </c>
      <c r="P105" s="4">
        <v>0</v>
      </c>
      <c r="Q105" s="3" t="s">
        <v>26</v>
      </c>
      <c r="R105" s="3">
        <v>0</v>
      </c>
      <c r="S105" s="3">
        <v>0</v>
      </c>
      <c r="T105" s="3">
        <v>34</v>
      </c>
      <c r="U105" s="3">
        <v>52</v>
      </c>
      <c r="V105" s="4">
        <f>IF(ISERROR(VLOOKUP($S$105,'TAR FIN'!$A$1:$O$88,15,0)),0,VLOOKUP($S$105,'TAR FIN'!$A$1:$O$88,15,0))</f>
        <v>0</v>
      </c>
      <c r="W105" s="4">
        <f>IF(ISERROR(VLOOKUP($T$105,'TAR FIN'!$A$1:$O$88,15,0)),0,VLOOKUP($T$105,'TAR FIN'!$A$1:$O$88,15,0))</f>
        <v>418.93</v>
      </c>
      <c r="X105" s="4">
        <f>IF(ISERROR(VLOOKUP($U$105,'TAR FIN'!$A$1:$O$88,15,0)),0,VLOOKUP($U$105,'TAR FIN'!$A$1:$O$88,15,0))</f>
        <v>145.38</v>
      </c>
      <c r="Y105" s="4"/>
      <c r="Z105" s="4">
        <f ca="1">('TUSD BE'!$AM$33+'TUSD BF'!$AM$33+'TUSD CVA'!$AM$33)*(1-CUSTOS!$M$38)</f>
        <v>497.93087316633921</v>
      </c>
      <c r="AA105" s="4">
        <f>('TE BE'!$AB$23+'TE BF'!$AB$23+'TE CVA'!$AB$23)*(1-CUSTOS!$M$38)</f>
        <v>144.71996911415522</v>
      </c>
      <c r="AB105" s="4">
        <f t="shared" si="8"/>
        <v>0</v>
      </c>
      <c r="AC105" s="4">
        <f>(L105-M105)*(W105+X105)+($W$38+$X$38-$W$105-$X$105)*(L105)</f>
        <v>66.493439999999978</v>
      </c>
      <c r="AD105" s="4">
        <f t="shared" si="9"/>
        <v>0</v>
      </c>
      <c r="AE105" s="4">
        <f ca="1">(L105-M105)*(Z105+AA105)+($Z$38+$AA$38-$Z$105-$AA$105)*(L105)</f>
        <v>35.441510280660516</v>
      </c>
      <c r="AF105" s="3" t="s">
        <v>551</v>
      </c>
    </row>
    <row r="106" spans="1:32" ht="11.25" customHeight="1" x14ac:dyDescent="0.25">
      <c r="A106" s="3" t="s">
        <v>21</v>
      </c>
      <c r="B106" s="3" t="s">
        <v>40</v>
      </c>
      <c r="C106" s="3" t="s">
        <v>23</v>
      </c>
      <c r="D106" s="3" t="s">
        <v>41</v>
      </c>
      <c r="E106" s="3" t="s">
        <v>50</v>
      </c>
      <c r="F106" s="3" t="s">
        <v>51</v>
      </c>
      <c r="G106" s="3" t="s">
        <v>25</v>
      </c>
      <c r="H106" s="3" t="s">
        <v>25</v>
      </c>
      <c r="I106" s="6">
        <v>44774</v>
      </c>
      <c r="J106" s="4">
        <v>0</v>
      </c>
      <c r="K106" s="4">
        <v>0</v>
      </c>
      <c r="L106" s="4">
        <v>1.3160000000000001</v>
      </c>
      <c r="M106" s="4">
        <v>1.3160000000000001</v>
      </c>
      <c r="N106" s="4">
        <v>1.3160000000000001</v>
      </c>
      <c r="O106" s="4">
        <v>1.3160000000000001</v>
      </c>
      <c r="P106" s="4">
        <v>0</v>
      </c>
      <c r="Q106" s="3" t="s">
        <v>26</v>
      </c>
      <c r="R106" s="3">
        <v>0</v>
      </c>
      <c r="S106" s="3">
        <v>0</v>
      </c>
      <c r="T106" s="3">
        <v>34</v>
      </c>
      <c r="U106" s="3">
        <v>52</v>
      </c>
      <c r="V106" s="4">
        <f>IF(ISERROR(VLOOKUP($S$106,'TAR FIN'!$A$1:$O$88,15,0)),0,VLOOKUP($S$106,'TAR FIN'!$A$1:$O$88,15,0))</f>
        <v>0</v>
      </c>
      <c r="W106" s="4">
        <f>IF(ISERROR(VLOOKUP($T$106,'TAR FIN'!$A$1:$O$88,15,0)),0,VLOOKUP($T$106,'TAR FIN'!$A$1:$O$88,15,0))</f>
        <v>418.93</v>
      </c>
      <c r="X106" s="4">
        <f>IF(ISERROR(VLOOKUP($U$106,'TAR FIN'!$A$1:$O$88,15,0)),0,VLOOKUP($U$106,'TAR FIN'!$A$1:$O$88,15,0))</f>
        <v>145.38</v>
      </c>
      <c r="Y106" s="4"/>
      <c r="Z106" s="4">
        <f ca="1">('TUSD BE'!$AM$33+'TUSD BF'!$AM$33+'TUSD CVA'!$AM$33)*(1-CUSTOS!$M$38)</f>
        <v>497.93087316633921</v>
      </c>
      <c r="AA106" s="4">
        <f>('TE BE'!$AB$23+'TE BF'!$AB$23+'TE CVA'!$AB$23)*(1-CUSTOS!$M$38)</f>
        <v>144.71996911415522</v>
      </c>
      <c r="AB106" s="4">
        <f t="shared" si="8"/>
        <v>0</v>
      </c>
      <c r="AC106" s="4">
        <f>(L106-M106)*(W106+X106)+($W$38+$X$38-$W$106-$X$106)*(L106)</f>
        <v>101.27935999999998</v>
      </c>
      <c r="AD106" s="4">
        <f t="shared" si="9"/>
        <v>0</v>
      </c>
      <c r="AE106" s="4">
        <f ca="1">(L106-M106)*(Z106+AA106)+($Z$38+$AA$38-$Z$106-$AA$106)*(L106)</f>
        <v>53.982670751561621</v>
      </c>
      <c r="AF106" s="3" t="s">
        <v>551</v>
      </c>
    </row>
    <row r="107" spans="1:32" ht="11.25" customHeight="1" x14ac:dyDescent="0.25">
      <c r="A107" s="3" t="s">
        <v>21</v>
      </c>
      <c r="B107" s="3" t="s">
        <v>40</v>
      </c>
      <c r="C107" s="3" t="s">
        <v>23</v>
      </c>
      <c r="D107" s="3" t="s">
        <v>41</v>
      </c>
      <c r="E107" s="3" t="s">
        <v>50</v>
      </c>
      <c r="F107" s="3" t="s">
        <v>52</v>
      </c>
      <c r="G107" s="3" t="s">
        <v>25</v>
      </c>
      <c r="H107" s="3" t="s">
        <v>25</v>
      </c>
      <c r="I107" s="6">
        <v>44440</v>
      </c>
      <c r="J107" s="4">
        <v>0</v>
      </c>
      <c r="K107" s="4">
        <v>0</v>
      </c>
      <c r="L107" s="4">
        <v>0.11799999999999999</v>
      </c>
      <c r="M107" s="4">
        <v>4.7199999999999999E-2</v>
      </c>
      <c r="N107" s="4">
        <v>0.11799999999999999</v>
      </c>
      <c r="O107" s="4">
        <v>4.7199999999999999E-2</v>
      </c>
      <c r="P107" s="4">
        <v>0</v>
      </c>
      <c r="Q107" s="3" t="s">
        <v>26</v>
      </c>
      <c r="R107" s="3">
        <v>0</v>
      </c>
      <c r="S107" s="3">
        <v>0</v>
      </c>
      <c r="T107" s="3">
        <v>32</v>
      </c>
      <c r="U107" s="3">
        <v>52</v>
      </c>
      <c r="V107" s="4">
        <f>IF(ISERROR(VLOOKUP($S$107,'TAR FIN'!$A$1:$O$88,15,0)),0,VLOOKUP($S$107,'TAR FIN'!$A$1:$O$88,15,0))</f>
        <v>0</v>
      </c>
      <c r="W107" s="4">
        <f>IF(ISERROR(VLOOKUP($T$107,'TAR FIN'!$A$1:$O$88,15,0)),0,VLOOKUP($T$107,'TAR FIN'!$A$1:$O$88,15,0))</f>
        <v>418.93</v>
      </c>
      <c r="X107" s="4">
        <f>IF(ISERROR(VLOOKUP($U$107,'TAR FIN'!$A$1:$O$88,15,0)),0,VLOOKUP($U$107,'TAR FIN'!$A$1:$O$88,15,0))</f>
        <v>145.38</v>
      </c>
      <c r="Y107" s="4"/>
      <c r="Z107" s="4">
        <f ca="1">('TUSD BE'!$AM$33+'TUSD BF'!$AM$33+'TUSD CVA'!$AM$33)*(1-CUSTOS!$M$38)</f>
        <v>497.93087316633921</v>
      </c>
      <c r="AA107" s="4">
        <f>('TE BE'!$AB$23+'TE BF'!$AB$23+'TE CVA'!$AB$23)*(1-CUSTOS!$M$38)</f>
        <v>144.71996911415522</v>
      </c>
      <c r="AB107" s="4">
        <f t="shared" si="8"/>
        <v>0</v>
      </c>
      <c r="AC107" s="4">
        <f>(L107-M107)*(W107+X107)+($W$38+$X$38-$W$107-$X$107)*(L107)</f>
        <v>49.034427999999998</v>
      </c>
      <c r="AD107" s="4">
        <f t="shared" si="9"/>
        <v>0</v>
      </c>
      <c r="AE107" s="4">
        <f ca="1">(L107-M107)*(Z107+AA107)+($Z$38+$AA$38-$Z$107-$AA$107)*(L107)</f>
        <v>50.340071083826999</v>
      </c>
      <c r="AF107" s="3" t="s">
        <v>552</v>
      </c>
    </row>
    <row r="108" spans="1:32" ht="11.25" customHeight="1" x14ac:dyDescent="0.25">
      <c r="A108" s="3" t="s">
        <v>21</v>
      </c>
      <c r="B108" s="3" t="s">
        <v>40</v>
      </c>
      <c r="C108" s="3" t="s">
        <v>23</v>
      </c>
      <c r="D108" s="3" t="s">
        <v>41</v>
      </c>
      <c r="E108" s="3" t="s">
        <v>50</v>
      </c>
      <c r="F108" s="3" t="s">
        <v>52</v>
      </c>
      <c r="G108" s="3" t="s">
        <v>25</v>
      </c>
      <c r="H108" s="3" t="s">
        <v>25</v>
      </c>
      <c r="I108" s="6">
        <v>44470</v>
      </c>
      <c r="J108" s="4">
        <v>0</v>
      </c>
      <c r="K108" s="4">
        <v>0</v>
      </c>
      <c r="L108" s="4">
        <v>0.114</v>
      </c>
      <c r="M108" s="4">
        <v>4.5600000000000002E-2</v>
      </c>
      <c r="N108" s="4">
        <v>0.114</v>
      </c>
      <c r="O108" s="4">
        <v>4.5600000000000002E-2</v>
      </c>
      <c r="P108" s="4">
        <v>0</v>
      </c>
      <c r="Q108" s="3" t="s">
        <v>26</v>
      </c>
      <c r="R108" s="3">
        <v>0</v>
      </c>
      <c r="S108" s="3">
        <v>0</v>
      </c>
      <c r="T108" s="3">
        <v>32</v>
      </c>
      <c r="U108" s="3">
        <v>52</v>
      </c>
      <c r="V108" s="4">
        <f>IF(ISERROR(VLOOKUP($S$108,'TAR FIN'!$A$1:$O$88,15,0)),0,VLOOKUP($S$108,'TAR FIN'!$A$1:$O$88,15,0))</f>
        <v>0</v>
      </c>
      <c r="W108" s="4">
        <f>IF(ISERROR(VLOOKUP($T$108,'TAR FIN'!$A$1:$O$88,15,0)),0,VLOOKUP($T$108,'TAR FIN'!$A$1:$O$88,15,0))</f>
        <v>418.93</v>
      </c>
      <c r="X108" s="4">
        <f>IF(ISERROR(VLOOKUP($U$108,'TAR FIN'!$A$1:$O$88,15,0)),0,VLOOKUP($U$108,'TAR FIN'!$A$1:$O$88,15,0))</f>
        <v>145.38</v>
      </c>
      <c r="Y108" s="4"/>
      <c r="Z108" s="4">
        <f ca="1">('TUSD BE'!$AM$33+'TUSD BF'!$AM$33+'TUSD CVA'!$AM$33)*(1-CUSTOS!$M$38)</f>
        <v>497.93087316633921</v>
      </c>
      <c r="AA108" s="4">
        <f>('TE BE'!$AB$23+'TE BF'!$AB$23+'TE CVA'!$AB$23)*(1-CUSTOS!$M$38)</f>
        <v>144.71996911415522</v>
      </c>
      <c r="AB108" s="4">
        <f t="shared" si="8"/>
        <v>0</v>
      </c>
      <c r="AC108" s="4">
        <f>(L108-M108)*(W108+X108)+($W$38+$X$38-$W$108-$X$108)*(L108)</f>
        <v>47.372243999999995</v>
      </c>
      <c r="AD108" s="4">
        <f t="shared" si="9"/>
        <v>0</v>
      </c>
      <c r="AE108" s="4">
        <f ca="1">(L108-M108)*(Z108+AA108)+($Z$38+$AA$38-$Z$108-$AA$108)*(L108)</f>
        <v>48.633627996239639</v>
      </c>
      <c r="AF108" s="3" t="s">
        <v>552</v>
      </c>
    </row>
    <row r="109" spans="1:32" ht="11.25" customHeight="1" x14ac:dyDescent="0.25">
      <c r="A109" s="3" t="s">
        <v>21</v>
      </c>
      <c r="B109" s="3" t="s">
        <v>40</v>
      </c>
      <c r="C109" s="3" t="s">
        <v>23</v>
      </c>
      <c r="D109" s="3" t="s">
        <v>41</v>
      </c>
      <c r="E109" s="3" t="s">
        <v>50</v>
      </c>
      <c r="F109" s="3" t="s">
        <v>52</v>
      </c>
      <c r="G109" s="3" t="s">
        <v>25</v>
      </c>
      <c r="H109" s="3" t="s">
        <v>25</v>
      </c>
      <c r="I109" s="6">
        <v>44501</v>
      </c>
      <c r="J109" s="4">
        <v>0</v>
      </c>
      <c r="K109" s="4">
        <v>0</v>
      </c>
      <c r="L109" s="4">
        <v>0.16900000000000001</v>
      </c>
      <c r="M109" s="4">
        <v>6.7599999999999993E-2</v>
      </c>
      <c r="N109" s="4">
        <v>0.16900000000000001</v>
      </c>
      <c r="O109" s="4">
        <v>6.7599999999999993E-2</v>
      </c>
      <c r="P109" s="4">
        <v>0</v>
      </c>
      <c r="Q109" s="3" t="s">
        <v>26</v>
      </c>
      <c r="R109" s="3">
        <v>0</v>
      </c>
      <c r="S109" s="3">
        <v>0</v>
      </c>
      <c r="T109" s="3">
        <v>32</v>
      </c>
      <c r="U109" s="3">
        <v>52</v>
      </c>
      <c r="V109" s="4">
        <f>IF(ISERROR(VLOOKUP($S$109,'TAR FIN'!$A$1:$O$88,15,0)),0,VLOOKUP($S$109,'TAR FIN'!$A$1:$O$88,15,0))</f>
        <v>0</v>
      </c>
      <c r="W109" s="4">
        <f>IF(ISERROR(VLOOKUP($T$109,'TAR FIN'!$A$1:$O$88,15,0)),0,VLOOKUP($T$109,'TAR FIN'!$A$1:$O$88,15,0))</f>
        <v>418.93</v>
      </c>
      <c r="X109" s="4">
        <f>IF(ISERROR(VLOOKUP($U$109,'TAR FIN'!$A$1:$O$88,15,0)),0,VLOOKUP($U$109,'TAR FIN'!$A$1:$O$88,15,0))</f>
        <v>145.38</v>
      </c>
      <c r="Y109" s="4"/>
      <c r="Z109" s="4">
        <f ca="1">('TUSD BE'!$AM$33+'TUSD BF'!$AM$33+'TUSD CVA'!$AM$33)*(1-CUSTOS!$M$38)</f>
        <v>497.93087316633921</v>
      </c>
      <c r="AA109" s="4">
        <f>('TE BE'!$AB$23+'TE BF'!$AB$23+'TE CVA'!$AB$23)*(1-CUSTOS!$M$38)</f>
        <v>144.71996911415522</v>
      </c>
      <c r="AB109" s="4">
        <f t="shared" si="8"/>
        <v>0</v>
      </c>
      <c r="AC109" s="4">
        <f>(L109-M109)*(W109+X109)+($W$38+$X$38-$W$109-$X$109)*(L109)</f>
        <v>70.227273999999994</v>
      </c>
      <c r="AD109" s="4">
        <f t="shared" si="9"/>
        <v>0</v>
      </c>
      <c r="AE109" s="4">
        <f ca="1">(L109-M109)*(Z109+AA109)+($Z$38+$AA$38-$Z$109-$AA$109)*(L109)</f>
        <v>72.0972204505658</v>
      </c>
      <c r="AF109" s="3" t="s">
        <v>552</v>
      </c>
    </row>
    <row r="110" spans="1:32" ht="11.25" customHeight="1" x14ac:dyDescent="0.25">
      <c r="A110" s="3" t="s">
        <v>21</v>
      </c>
      <c r="B110" s="3" t="s">
        <v>40</v>
      </c>
      <c r="C110" s="3" t="s">
        <v>23</v>
      </c>
      <c r="D110" s="3" t="s">
        <v>41</v>
      </c>
      <c r="E110" s="3" t="s">
        <v>50</v>
      </c>
      <c r="F110" s="3" t="s">
        <v>52</v>
      </c>
      <c r="G110" s="3" t="s">
        <v>25</v>
      </c>
      <c r="H110" s="3" t="s">
        <v>25</v>
      </c>
      <c r="I110" s="6">
        <v>44531</v>
      </c>
      <c r="J110" s="4">
        <v>0</v>
      </c>
      <c r="K110" s="4">
        <v>0</v>
      </c>
      <c r="L110" s="4">
        <v>0.79300000000000004</v>
      </c>
      <c r="M110" s="4">
        <v>0.31719999999999998</v>
      </c>
      <c r="N110" s="4">
        <v>0.79300000000000004</v>
      </c>
      <c r="O110" s="4">
        <v>0.31719999999999998</v>
      </c>
      <c r="P110" s="4">
        <v>0</v>
      </c>
      <c r="Q110" s="3" t="s">
        <v>26</v>
      </c>
      <c r="R110" s="3">
        <v>0</v>
      </c>
      <c r="S110" s="3">
        <v>0</v>
      </c>
      <c r="T110" s="3">
        <v>32</v>
      </c>
      <c r="U110" s="3">
        <v>52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418.93</v>
      </c>
      <c r="X110" s="4">
        <f>IF(ISERROR(VLOOKUP($U$110,'TAR FIN'!$A$1:$O$88,15,0)),0,VLOOKUP($U$110,'TAR FIN'!$A$1:$O$88,15,0))</f>
        <v>145.38</v>
      </c>
      <c r="Y110" s="4"/>
      <c r="Z110" s="4">
        <f ca="1">('TUSD BE'!$AM$33+'TUSD BF'!$AM$33+'TUSD CVA'!$AM$33)*(1-CUSTOS!$M$38)</f>
        <v>497.93087316633921</v>
      </c>
      <c r="AA110" s="4">
        <f>('TE BE'!$AB$23+'TE BF'!$AB$23+'TE CVA'!$AB$23)*(1-CUSTOS!$M$38)</f>
        <v>144.71996911415522</v>
      </c>
      <c r="AB110" s="4">
        <f t="shared" si="8"/>
        <v>0</v>
      </c>
      <c r="AC110" s="4">
        <f>(L110-M110)*(W110+X110)+($W$38+$X$38-$W$110-$X$110)*(L110)</f>
        <v>329.52797799999996</v>
      </c>
      <c r="AD110" s="4">
        <f t="shared" si="9"/>
        <v>0</v>
      </c>
      <c r="AE110" s="4">
        <f ca="1">(L110-M110)*(Z110+AA110)+($Z$38+$AA$38-$Z$110-$AA$110)*(L110)</f>
        <v>338.30234211419327</v>
      </c>
      <c r="AF110" s="3" t="s">
        <v>552</v>
      </c>
    </row>
    <row r="111" spans="1:32" ht="11.25" customHeight="1" x14ac:dyDescent="0.25">
      <c r="A111" s="3" t="s">
        <v>21</v>
      </c>
      <c r="B111" s="3" t="s">
        <v>40</v>
      </c>
      <c r="C111" s="3" t="s">
        <v>23</v>
      </c>
      <c r="D111" s="3" t="s">
        <v>41</v>
      </c>
      <c r="E111" s="3" t="s">
        <v>50</v>
      </c>
      <c r="F111" s="3" t="s">
        <v>52</v>
      </c>
      <c r="G111" s="3" t="s">
        <v>25</v>
      </c>
      <c r="H111" s="3" t="s">
        <v>25</v>
      </c>
      <c r="I111" s="6">
        <v>44562</v>
      </c>
      <c r="J111" s="4">
        <v>0</v>
      </c>
      <c r="K111" s="4">
        <v>0</v>
      </c>
      <c r="L111" s="4">
        <v>1.845</v>
      </c>
      <c r="M111" s="4">
        <v>0.73799999999999999</v>
      </c>
      <c r="N111" s="4">
        <v>1.845</v>
      </c>
      <c r="O111" s="4">
        <v>0.73799999999999999</v>
      </c>
      <c r="P111" s="4">
        <v>0</v>
      </c>
      <c r="Q111" s="3" t="s">
        <v>26</v>
      </c>
      <c r="R111" s="3">
        <v>0</v>
      </c>
      <c r="S111" s="3">
        <v>0</v>
      </c>
      <c r="T111" s="3">
        <v>32</v>
      </c>
      <c r="U111" s="3">
        <v>52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418.93</v>
      </c>
      <c r="X111" s="4">
        <f>IF(ISERROR(VLOOKUP($U$111,'TAR FIN'!$A$1:$O$88,15,0)),0,VLOOKUP($U$111,'TAR FIN'!$A$1:$O$88,15,0))</f>
        <v>145.38</v>
      </c>
      <c r="Y111" s="4"/>
      <c r="Z111" s="4">
        <f ca="1">('TUSD BE'!$AM$33+'TUSD BF'!$AM$33+'TUSD CVA'!$AM$33)*(1-CUSTOS!$M$38)</f>
        <v>497.93087316633921</v>
      </c>
      <c r="AA111" s="4">
        <f>('TE BE'!$AB$23+'TE BF'!$AB$23+'TE CVA'!$AB$23)*(1-CUSTOS!$M$38)</f>
        <v>144.71996911415522</v>
      </c>
      <c r="AB111" s="4">
        <f t="shared" si="8"/>
        <v>0</v>
      </c>
      <c r="AC111" s="4">
        <f>(L111-M111)*(W111+X111)+($W$38+$X$38-$W$111-$X$111)*(L111)</f>
        <v>766.68236999999988</v>
      </c>
      <c r="AD111" s="4">
        <f t="shared" si="9"/>
        <v>0</v>
      </c>
      <c r="AE111" s="4">
        <f ca="1">(L111-M111)*(Z111+AA111)+($Z$38+$AA$38-$Z$111-$AA$111)*(L111)</f>
        <v>787.09687414966777</v>
      </c>
      <c r="AF111" s="3" t="s">
        <v>552</v>
      </c>
    </row>
    <row r="112" spans="1:32" ht="11.25" customHeight="1" x14ac:dyDescent="0.25">
      <c r="A112" s="3" t="s">
        <v>21</v>
      </c>
      <c r="B112" s="3" t="s">
        <v>40</v>
      </c>
      <c r="C112" s="3" t="s">
        <v>23</v>
      </c>
      <c r="D112" s="3" t="s">
        <v>41</v>
      </c>
      <c r="E112" s="3" t="s">
        <v>50</v>
      </c>
      <c r="F112" s="3" t="s">
        <v>52</v>
      </c>
      <c r="G112" s="3" t="s">
        <v>25</v>
      </c>
      <c r="H112" s="3" t="s">
        <v>25</v>
      </c>
      <c r="I112" s="6">
        <v>44593</v>
      </c>
      <c r="J112" s="4">
        <v>0</v>
      </c>
      <c r="K112" s="4">
        <v>0</v>
      </c>
      <c r="L112" s="4">
        <v>1.7969999999999999</v>
      </c>
      <c r="M112" s="4">
        <v>0.71879999999999999</v>
      </c>
      <c r="N112" s="4">
        <v>1.7969999999999999</v>
      </c>
      <c r="O112" s="4">
        <v>0.71879999999999999</v>
      </c>
      <c r="P112" s="4">
        <v>0</v>
      </c>
      <c r="Q112" s="3" t="s">
        <v>26</v>
      </c>
      <c r="R112" s="3">
        <v>0</v>
      </c>
      <c r="S112" s="3">
        <v>0</v>
      </c>
      <c r="T112" s="3">
        <v>32</v>
      </c>
      <c r="U112" s="3">
        <v>52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418.93</v>
      </c>
      <c r="X112" s="4">
        <f>IF(ISERROR(VLOOKUP($U$112,'TAR FIN'!$A$1:$O$88,15,0)),0,VLOOKUP($U$112,'TAR FIN'!$A$1:$O$88,15,0))</f>
        <v>145.38</v>
      </c>
      <c r="Y112" s="4"/>
      <c r="Z112" s="4">
        <f ca="1">('TUSD BE'!$AM$33+'TUSD BF'!$AM$33+'TUSD CVA'!$AM$33)*(1-CUSTOS!$M$38)</f>
        <v>497.93087316633921</v>
      </c>
      <c r="AA112" s="4">
        <f>('TE BE'!$AB$23+'TE BF'!$AB$23+'TE CVA'!$AB$23)*(1-CUSTOS!$M$38)</f>
        <v>144.71996911415522</v>
      </c>
      <c r="AB112" s="4">
        <f t="shared" si="8"/>
        <v>0</v>
      </c>
      <c r="AC112" s="4">
        <f>(L112-M112)*(W112+X112)+($W$38+$X$38-$W$112-$X$112)*(L112)</f>
        <v>746.73616199999981</v>
      </c>
      <c r="AD112" s="4">
        <f t="shared" si="9"/>
        <v>0</v>
      </c>
      <c r="AE112" s="4">
        <f ca="1">(L112-M112)*(Z112+AA112)+($Z$38+$AA$38-$Z$112-$AA$112)*(L112)</f>
        <v>766.61955709861945</v>
      </c>
      <c r="AF112" s="3" t="s">
        <v>552</v>
      </c>
    </row>
    <row r="113" spans="1:32" ht="11.25" customHeight="1" x14ac:dyDescent="0.25">
      <c r="A113" s="3" t="s">
        <v>21</v>
      </c>
      <c r="B113" s="3" t="s">
        <v>40</v>
      </c>
      <c r="C113" s="3" t="s">
        <v>23</v>
      </c>
      <c r="D113" s="3" t="s">
        <v>41</v>
      </c>
      <c r="E113" s="3" t="s">
        <v>50</v>
      </c>
      <c r="F113" s="3" t="s">
        <v>52</v>
      </c>
      <c r="G113" s="3" t="s">
        <v>25</v>
      </c>
      <c r="H113" s="3" t="s">
        <v>25</v>
      </c>
      <c r="I113" s="6">
        <v>44621</v>
      </c>
      <c r="J113" s="4">
        <v>0</v>
      </c>
      <c r="K113" s="4">
        <v>0</v>
      </c>
      <c r="L113" s="4">
        <v>2.5939999999999999</v>
      </c>
      <c r="M113" s="4">
        <v>1.0376000000000001</v>
      </c>
      <c r="N113" s="4">
        <v>2.5939999999999999</v>
      </c>
      <c r="O113" s="4">
        <v>1.0376000000000001</v>
      </c>
      <c r="P113" s="4">
        <v>0</v>
      </c>
      <c r="Q113" s="3" t="s">
        <v>26</v>
      </c>
      <c r="R113" s="3">
        <v>0</v>
      </c>
      <c r="S113" s="3">
        <v>0</v>
      </c>
      <c r="T113" s="3">
        <v>32</v>
      </c>
      <c r="U113" s="3">
        <v>52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418.93</v>
      </c>
      <c r="X113" s="4">
        <f>IF(ISERROR(VLOOKUP($U$113,'TAR FIN'!$A$1:$O$88,15,0)),0,VLOOKUP($U$113,'TAR FIN'!$A$1:$O$88,15,0))</f>
        <v>145.38</v>
      </c>
      <c r="Y113" s="4"/>
      <c r="Z113" s="4">
        <f ca="1">('TUSD BE'!$AM$33+'TUSD BF'!$AM$33+'TUSD CVA'!$AM$33)*(1-CUSTOS!$M$38)</f>
        <v>497.93087316633921</v>
      </c>
      <c r="AA113" s="4">
        <f>('TE BE'!$AB$23+'TE BF'!$AB$23+'TE CVA'!$AB$23)*(1-CUSTOS!$M$38)</f>
        <v>144.71996911415522</v>
      </c>
      <c r="AB113" s="4">
        <f t="shared" si="8"/>
        <v>0</v>
      </c>
      <c r="AC113" s="4">
        <f>(L113-M113)*(W113+X113)+($W$38+$X$38-$W$113-$X$113)*(L113)</f>
        <v>1077.9263239999998</v>
      </c>
      <c r="AD113" s="4">
        <f t="shared" si="9"/>
        <v>0</v>
      </c>
      <c r="AE113" s="4">
        <f ca="1">(L113-M113)*(Z113+AA113)+($Z$38+$AA$38-$Z$113-$AA$113)*(L113)</f>
        <v>1106.6283423003999</v>
      </c>
      <c r="AF113" s="3" t="s">
        <v>552</v>
      </c>
    </row>
    <row r="114" spans="1:32" ht="11.25" customHeight="1" x14ac:dyDescent="0.25">
      <c r="A114" s="3" t="s">
        <v>21</v>
      </c>
      <c r="B114" s="3" t="s">
        <v>40</v>
      </c>
      <c r="C114" s="3" t="s">
        <v>23</v>
      </c>
      <c r="D114" s="3" t="s">
        <v>41</v>
      </c>
      <c r="E114" s="3" t="s">
        <v>50</v>
      </c>
      <c r="F114" s="3" t="s">
        <v>52</v>
      </c>
      <c r="G114" s="3" t="s">
        <v>25</v>
      </c>
      <c r="H114" s="3" t="s">
        <v>25</v>
      </c>
      <c r="I114" s="6">
        <v>44652</v>
      </c>
      <c r="J114" s="4">
        <v>0</v>
      </c>
      <c r="K114" s="4">
        <v>0</v>
      </c>
      <c r="L114" s="4">
        <v>3.2970000000000002</v>
      </c>
      <c r="M114" s="4">
        <v>1.3188</v>
      </c>
      <c r="N114" s="4">
        <v>3.2970000000000002</v>
      </c>
      <c r="O114" s="4">
        <v>1.3188</v>
      </c>
      <c r="P114" s="4">
        <v>0</v>
      </c>
      <c r="Q114" s="3" t="s">
        <v>26</v>
      </c>
      <c r="R114" s="3">
        <v>0</v>
      </c>
      <c r="S114" s="3">
        <v>0</v>
      </c>
      <c r="T114" s="3">
        <v>32</v>
      </c>
      <c r="U114" s="3">
        <v>52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418.93</v>
      </c>
      <c r="X114" s="4">
        <f>IF(ISERROR(VLOOKUP($U$114,'TAR FIN'!$A$1:$O$88,15,0)),0,VLOOKUP($U$114,'TAR FIN'!$A$1:$O$88,15,0))</f>
        <v>145.38</v>
      </c>
      <c r="Y114" s="4"/>
      <c r="Z114" s="4">
        <f ca="1">('TUSD BE'!$AM$33+'TUSD BF'!$AM$33+'TUSD CVA'!$AM$33)*(1-CUSTOS!$M$38)</f>
        <v>497.93087316633921</v>
      </c>
      <c r="AA114" s="4">
        <f>('TE BE'!$AB$23+'TE BF'!$AB$23+'TE CVA'!$AB$23)*(1-CUSTOS!$M$38)</f>
        <v>144.71996911415522</v>
      </c>
      <c r="AB114" s="4">
        <f t="shared" si="8"/>
        <v>0</v>
      </c>
      <c r="AC114" s="4">
        <f>(L114-M114)*(W114+X114)+($W$38+$X$38-$W$114-$X$114)*(L114)</f>
        <v>1370.0551620000001</v>
      </c>
      <c r="AD114" s="4">
        <f t="shared" si="9"/>
        <v>0</v>
      </c>
      <c r="AE114" s="4">
        <f ca="1">(L114-M114)*(Z114+AA114)+($Z$38+$AA$38-$Z$114-$AA$114)*(L114)</f>
        <v>1406.535714943878</v>
      </c>
      <c r="AF114" s="3" t="s">
        <v>552</v>
      </c>
    </row>
    <row r="115" spans="1:32" ht="11.25" customHeight="1" x14ac:dyDescent="0.25">
      <c r="A115" s="3" t="s">
        <v>21</v>
      </c>
      <c r="B115" s="3" t="s">
        <v>40</v>
      </c>
      <c r="C115" s="3" t="s">
        <v>23</v>
      </c>
      <c r="D115" s="3" t="s">
        <v>41</v>
      </c>
      <c r="E115" s="3" t="s">
        <v>50</v>
      </c>
      <c r="F115" s="3" t="s">
        <v>52</v>
      </c>
      <c r="G115" s="3" t="s">
        <v>25</v>
      </c>
      <c r="H115" s="3" t="s">
        <v>25</v>
      </c>
      <c r="I115" s="6">
        <v>44682</v>
      </c>
      <c r="J115" s="4">
        <v>0</v>
      </c>
      <c r="K115" s="4">
        <v>0</v>
      </c>
      <c r="L115" s="4">
        <v>2.9510000000000001</v>
      </c>
      <c r="M115" s="4">
        <v>1.1803999999999999</v>
      </c>
      <c r="N115" s="4">
        <v>2.9510000000000001</v>
      </c>
      <c r="O115" s="4">
        <v>1.1803999999999999</v>
      </c>
      <c r="P115" s="4">
        <v>0</v>
      </c>
      <c r="Q115" s="3" t="s">
        <v>26</v>
      </c>
      <c r="R115" s="3">
        <v>0</v>
      </c>
      <c r="S115" s="3">
        <v>0</v>
      </c>
      <c r="T115" s="3">
        <v>32</v>
      </c>
      <c r="U115" s="3">
        <v>52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418.93</v>
      </c>
      <c r="X115" s="4">
        <f>IF(ISERROR(VLOOKUP($U$115,'TAR FIN'!$A$1:$O$88,15,0)),0,VLOOKUP($U$115,'TAR FIN'!$A$1:$O$88,15,0))</f>
        <v>145.38</v>
      </c>
      <c r="Y115" s="4"/>
      <c r="Z115" s="4">
        <f ca="1">('TUSD BE'!$AM$33+'TUSD BF'!$AM$33+'TUSD CVA'!$AM$33)*(1-CUSTOS!$M$38)</f>
        <v>497.93087316633921</v>
      </c>
      <c r="AA115" s="4">
        <f>('TE BE'!$AB$23+'TE BF'!$AB$23+'TE CVA'!$AB$23)*(1-CUSTOS!$M$38)</f>
        <v>144.71996911415522</v>
      </c>
      <c r="AB115" s="4">
        <f t="shared" si="8"/>
        <v>0</v>
      </c>
      <c r="AC115" s="4">
        <f>(L115-M115)*(W115+X115)+($W$38+$X$38-$W$115-$X$115)*(L115)</f>
        <v>1226.2762459999999</v>
      </c>
      <c r="AD115" s="4">
        <f t="shared" si="9"/>
        <v>0</v>
      </c>
      <c r="AE115" s="4">
        <f ca="1">(L115-M115)*(Z115+AA115)+($Z$38+$AA$38-$Z$115-$AA$115)*(L115)</f>
        <v>1258.9283878675717</v>
      </c>
      <c r="AF115" s="3" t="s">
        <v>552</v>
      </c>
    </row>
    <row r="116" spans="1:32" ht="11.25" customHeight="1" x14ac:dyDescent="0.25">
      <c r="A116" s="3" t="s">
        <v>21</v>
      </c>
      <c r="B116" s="3" t="s">
        <v>40</v>
      </c>
      <c r="C116" s="3" t="s">
        <v>23</v>
      </c>
      <c r="D116" s="3" t="s">
        <v>41</v>
      </c>
      <c r="E116" s="3" t="s">
        <v>50</v>
      </c>
      <c r="F116" s="3" t="s">
        <v>52</v>
      </c>
      <c r="G116" s="3" t="s">
        <v>25</v>
      </c>
      <c r="H116" s="3" t="s">
        <v>25</v>
      </c>
      <c r="I116" s="6">
        <v>44713</v>
      </c>
      <c r="J116" s="4">
        <v>0</v>
      </c>
      <c r="K116" s="4">
        <v>0</v>
      </c>
      <c r="L116" s="4">
        <v>3.1909999999999998</v>
      </c>
      <c r="M116" s="4">
        <v>1.2764</v>
      </c>
      <c r="N116" s="4">
        <v>3.1909999999999998</v>
      </c>
      <c r="O116" s="4">
        <v>1.2764</v>
      </c>
      <c r="P116" s="4">
        <v>0</v>
      </c>
      <c r="Q116" s="3" t="s">
        <v>26</v>
      </c>
      <c r="R116" s="3">
        <v>0</v>
      </c>
      <c r="S116" s="3">
        <v>0</v>
      </c>
      <c r="T116" s="3">
        <v>32</v>
      </c>
      <c r="U116" s="3">
        <v>52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418.93</v>
      </c>
      <c r="X116" s="4">
        <f>IF(ISERROR(VLOOKUP($U$116,'TAR FIN'!$A$1:$O$88,15,0)),0,VLOOKUP($U$116,'TAR FIN'!$A$1:$O$88,15,0))</f>
        <v>145.38</v>
      </c>
      <c r="Y116" s="4"/>
      <c r="Z116" s="4">
        <f ca="1">('TUSD BE'!$AM$33+'TUSD BF'!$AM$33+'TUSD CVA'!$AM$33)*(1-CUSTOS!$M$38)</f>
        <v>497.93087316633921</v>
      </c>
      <c r="AA116" s="4">
        <f>('TE BE'!$AB$23+'TE BF'!$AB$23+'TE CVA'!$AB$23)*(1-CUSTOS!$M$38)</f>
        <v>144.71996911415522</v>
      </c>
      <c r="AB116" s="4">
        <f t="shared" si="8"/>
        <v>0</v>
      </c>
      <c r="AC116" s="4">
        <f>(L116-M116)*(W116+X116)+($W$38+$X$38-$W$116-$X$116)*(L116)</f>
        <v>1326.0072859999998</v>
      </c>
      <c r="AD116" s="4">
        <f t="shared" si="9"/>
        <v>0</v>
      </c>
      <c r="AE116" s="4">
        <f ca="1">(L116-M116)*(Z116+AA116)+($Z$38+$AA$38-$Z$116-$AA$116)*(L116)</f>
        <v>1361.3149731228129</v>
      </c>
      <c r="AF116" s="3" t="s">
        <v>552</v>
      </c>
    </row>
    <row r="117" spans="1:32" ht="11.25" customHeight="1" x14ac:dyDescent="0.25">
      <c r="A117" s="3" t="s">
        <v>21</v>
      </c>
      <c r="B117" s="3" t="s">
        <v>40</v>
      </c>
      <c r="C117" s="3" t="s">
        <v>23</v>
      </c>
      <c r="D117" s="3" t="s">
        <v>41</v>
      </c>
      <c r="E117" s="3" t="s">
        <v>50</v>
      </c>
      <c r="F117" s="3" t="s">
        <v>52</v>
      </c>
      <c r="G117" s="3" t="s">
        <v>25</v>
      </c>
      <c r="H117" s="3" t="s">
        <v>25</v>
      </c>
      <c r="I117" s="6">
        <v>44743</v>
      </c>
      <c r="J117" s="4">
        <v>0</v>
      </c>
      <c r="K117" s="4">
        <v>0</v>
      </c>
      <c r="L117" s="4">
        <v>2.5390000000000001</v>
      </c>
      <c r="M117" s="4">
        <v>1.0156000000000001</v>
      </c>
      <c r="N117" s="4">
        <v>2.5390000000000001</v>
      </c>
      <c r="O117" s="4">
        <v>1.0156000000000001</v>
      </c>
      <c r="P117" s="4">
        <v>0</v>
      </c>
      <c r="Q117" s="3" t="s">
        <v>26</v>
      </c>
      <c r="R117" s="3">
        <v>0</v>
      </c>
      <c r="S117" s="3">
        <v>0</v>
      </c>
      <c r="T117" s="3">
        <v>32</v>
      </c>
      <c r="U117" s="3">
        <v>52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418.93</v>
      </c>
      <c r="X117" s="4">
        <f>IF(ISERROR(VLOOKUP($U$117,'TAR FIN'!$A$1:$O$88,15,0)),0,VLOOKUP($U$117,'TAR FIN'!$A$1:$O$88,15,0))</f>
        <v>145.38</v>
      </c>
      <c r="Y117" s="4"/>
      <c r="Z117" s="4">
        <f ca="1">('TUSD BE'!$AM$33+'TUSD BF'!$AM$33+'TUSD CVA'!$AM$33)*(1-CUSTOS!$M$38)</f>
        <v>497.93087316633921</v>
      </c>
      <c r="AA117" s="4">
        <f>('TE BE'!$AB$23+'TE BF'!$AB$23+'TE CVA'!$AB$23)*(1-CUSTOS!$M$38)</f>
        <v>144.71996911415522</v>
      </c>
      <c r="AB117" s="4">
        <f t="shared" si="8"/>
        <v>0</v>
      </c>
      <c r="AC117" s="4">
        <f>(L117-M117)*(W117+X117)+($W$38+$X$38-$W$117-$X$117)*(L117)</f>
        <v>1055.0712939999999</v>
      </c>
      <c r="AD117" s="4">
        <f t="shared" si="9"/>
        <v>0</v>
      </c>
      <c r="AE117" s="4">
        <f ca="1">(L117-M117)*(Z117+AA117)+($Z$38+$AA$38-$Z$117-$AA$117)*(L117)</f>
        <v>1083.1647498460741</v>
      </c>
      <c r="AF117" s="3" t="s">
        <v>552</v>
      </c>
    </row>
    <row r="118" spans="1:32" ht="11.25" customHeight="1" x14ac:dyDescent="0.25">
      <c r="A118" s="3" t="s">
        <v>21</v>
      </c>
      <c r="B118" s="3" t="s">
        <v>40</v>
      </c>
      <c r="C118" s="3" t="s">
        <v>23</v>
      </c>
      <c r="D118" s="3" t="s">
        <v>41</v>
      </c>
      <c r="E118" s="3" t="s">
        <v>50</v>
      </c>
      <c r="F118" s="3" t="s">
        <v>52</v>
      </c>
      <c r="G118" s="3" t="s">
        <v>25</v>
      </c>
      <c r="H118" s="3" t="s">
        <v>25</v>
      </c>
      <c r="I118" s="6">
        <v>44774</v>
      </c>
      <c r="J118" s="4">
        <v>0</v>
      </c>
      <c r="K118" s="4">
        <v>0</v>
      </c>
      <c r="L118" s="4">
        <v>3.1230000000000002</v>
      </c>
      <c r="M118" s="4">
        <v>1.2492000000000001</v>
      </c>
      <c r="N118" s="4">
        <v>3.1230000000000002</v>
      </c>
      <c r="O118" s="4">
        <v>1.2492000000000001</v>
      </c>
      <c r="P118" s="4">
        <v>0</v>
      </c>
      <c r="Q118" s="3" t="s">
        <v>26</v>
      </c>
      <c r="R118" s="3">
        <v>0</v>
      </c>
      <c r="S118" s="3">
        <v>0</v>
      </c>
      <c r="T118" s="3">
        <v>32</v>
      </c>
      <c r="U118" s="3">
        <v>52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418.93</v>
      </c>
      <c r="X118" s="4">
        <f>IF(ISERROR(VLOOKUP($U$118,'TAR FIN'!$A$1:$O$88,15,0)),0,VLOOKUP($U$118,'TAR FIN'!$A$1:$O$88,15,0))</f>
        <v>145.38</v>
      </c>
      <c r="Y118" s="4"/>
      <c r="Z118" s="4">
        <f ca="1">('TUSD BE'!$AM$33+'TUSD BF'!$AM$33+'TUSD CVA'!$AM$33)*(1-CUSTOS!$M$38)</f>
        <v>497.93087316633921</v>
      </c>
      <c r="AA118" s="4">
        <f>('TE BE'!$AB$23+'TE BF'!$AB$23+'TE CVA'!$AB$23)*(1-CUSTOS!$M$38)</f>
        <v>144.71996911415522</v>
      </c>
      <c r="AB118" s="4">
        <f t="shared" si="8"/>
        <v>0</v>
      </c>
      <c r="AC118" s="4">
        <f>(L118-M118)*(W118+X118)+($W$38+$X$38-$W$118-$X$118)*(L118)</f>
        <v>1297.7501580000001</v>
      </c>
      <c r="AD118" s="4">
        <f t="shared" si="9"/>
        <v>0</v>
      </c>
      <c r="AE118" s="4">
        <f ca="1">(L118-M118)*(Z118+AA118)+($Z$38+$AA$38-$Z$118-$AA$118)*(L118)</f>
        <v>1332.3054406338281</v>
      </c>
      <c r="AF118" s="3" t="s">
        <v>552</v>
      </c>
    </row>
    <row r="119" spans="1:32" ht="11.25" customHeight="1" x14ac:dyDescent="0.25">
      <c r="A119" s="3" t="s">
        <v>21</v>
      </c>
      <c r="B119" s="3" t="s">
        <v>40</v>
      </c>
      <c r="C119" s="3" t="s">
        <v>23</v>
      </c>
      <c r="D119" s="3" t="s">
        <v>41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44440</v>
      </c>
      <c r="J119" s="4">
        <v>0</v>
      </c>
      <c r="K119" s="4">
        <v>0</v>
      </c>
      <c r="L119" s="4">
        <v>274.00599999999997</v>
      </c>
      <c r="M119" s="4">
        <v>274.00599999999997</v>
      </c>
      <c r="N119" s="4">
        <v>274.00599999999997</v>
      </c>
      <c r="O119" s="4">
        <v>274.00599999999997</v>
      </c>
      <c r="P119" s="4">
        <v>1185</v>
      </c>
      <c r="Q119" s="3" t="s">
        <v>26</v>
      </c>
      <c r="R119" s="3">
        <v>0</v>
      </c>
      <c r="S119" s="3">
        <v>0</v>
      </c>
      <c r="T119" s="3">
        <v>34</v>
      </c>
      <c r="U119" s="3">
        <v>52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418.93</v>
      </c>
      <c r="X119" s="4">
        <f>IF(ISERROR(VLOOKUP($U$119,'TAR FIN'!$A$1:$O$88,15,0)),0,VLOOKUP($U$119,'TAR FIN'!$A$1:$O$88,15,0))</f>
        <v>145.38</v>
      </c>
      <c r="Y119" s="4"/>
      <c r="Z119" s="4">
        <f ca="1">('TUSD BE'!$AM$33+'TUSD BF'!$AM$33+'TUSD CVA'!$AM$33)*(1-CUSTOS!$M$38)</f>
        <v>497.93087316633921</v>
      </c>
      <c r="AA119" s="4">
        <f>('TE BE'!$AB$23+'TE BF'!$AB$23+'TE CVA'!$AB$23)*(1-CUSTOS!$M$38)</f>
        <v>144.71996911415522</v>
      </c>
      <c r="AB119" s="4">
        <f t="shared" si="8"/>
        <v>0</v>
      </c>
      <c r="AC119" s="4">
        <f>(L119-M119)*(W119+X119)+($W$38+$X$38-$W$119-$X$119)*(L119)</f>
        <v>21087.501759999992</v>
      </c>
      <c r="AD119" s="4">
        <f t="shared" si="9"/>
        <v>0</v>
      </c>
      <c r="AE119" s="4">
        <f ca="1">(L119-M119)*(Z119+AA119)+($Z$38+$AA$38-$Z$119-$AA$119)*(L119)</f>
        <v>11239.799150419751</v>
      </c>
      <c r="AF119" s="3" t="s">
        <v>551</v>
      </c>
    </row>
    <row r="120" spans="1:32" ht="11.25" customHeight="1" x14ac:dyDescent="0.25">
      <c r="A120" s="3" t="s">
        <v>28</v>
      </c>
      <c r="B120" s="3" t="s">
        <v>40</v>
      </c>
      <c r="C120" s="3" t="s">
        <v>23</v>
      </c>
      <c r="D120" s="3" t="s">
        <v>41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44440</v>
      </c>
      <c r="J120" s="4">
        <v>0</v>
      </c>
      <c r="K120" s="4">
        <v>0</v>
      </c>
      <c r="L120" s="4">
        <v>4.5650000000000004</v>
      </c>
      <c r="M120" s="4">
        <v>4.5650000000000004</v>
      </c>
      <c r="N120" s="4">
        <v>4.5650000000000004</v>
      </c>
      <c r="O120" s="4">
        <v>4.5650000000000004</v>
      </c>
      <c r="P120" s="4">
        <v>10</v>
      </c>
      <c r="Q120" s="3" t="s">
        <v>26</v>
      </c>
      <c r="R120" s="3">
        <v>0</v>
      </c>
      <c r="S120" s="3">
        <v>0</v>
      </c>
      <c r="T120" s="3">
        <v>34</v>
      </c>
      <c r="U120" s="3">
        <v>52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418.93</v>
      </c>
      <c r="X120" s="4">
        <f>IF(ISERROR(VLOOKUP($U$120,'TAR FIN'!$A$1:$O$88,15,0)),0,VLOOKUP($U$120,'TAR FIN'!$A$1:$O$88,15,0))</f>
        <v>145.38</v>
      </c>
      <c r="Y120" s="4"/>
      <c r="Z120" s="4">
        <f ca="1">('TUSD BE'!$AM$33+'TUSD BF'!$AM$33+'TUSD CVA'!$AM$33)*(1-CUSTOS!$M$38)</f>
        <v>497.93087316633921</v>
      </c>
      <c r="AA120" s="4">
        <f>('TE BE'!$AB$23+'TE BF'!$AB$23+'TE CVA'!$AB$23)*(1-CUSTOS!$M$38)</f>
        <v>144.71996911415522</v>
      </c>
      <c r="AB120" s="4">
        <f t="shared" si="8"/>
        <v>0</v>
      </c>
      <c r="AC120" s="4">
        <f>(L120-M120)*(W120+X120)+($W$38+$X$38-$W$120-$X$120)*(L120)</f>
        <v>351.32239999999996</v>
      </c>
      <c r="AD120" s="4">
        <f t="shared" si="9"/>
        <v>0</v>
      </c>
      <c r="AE120" s="4">
        <f ca="1">(L120-M120)*(Z120+AA120)+($Z$38+$AA$38-$Z$120-$AA$120)*(L120)</f>
        <v>187.25751670279547</v>
      </c>
      <c r="AF120" s="3" t="s">
        <v>551</v>
      </c>
    </row>
    <row r="121" spans="1:32" ht="11.25" customHeight="1" x14ac:dyDescent="0.25">
      <c r="A121" s="3" t="s">
        <v>21</v>
      </c>
      <c r="B121" s="3" t="s">
        <v>40</v>
      </c>
      <c r="C121" s="3" t="s">
        <v>23</v>
      </c>
      <c r="D121" s="3" t="s">
        <v>41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44470</v>
      </c>
      <c r="J121" s="4">
        <v>0</v>
      </c>
      <c r="K121" s="4">
        <v>0</v>
      </c>
      <c r="L121" s="4">
        <v>232.971</v>
      </c>
      <c r="M121" s="4">
        <v>232.971</v>
      </c>
      <c r="N121" s="4">
        <v>232.971</v>
      </c>
      <c r="O121" s="4">
        <v>232.971</v>
      </c>
      <c r="P121" s="4">
        <v>1183</v>
      </c>
      <c r="Q121" s="3" t="s">
        <v>26</v>
      </c>
      <c r="R121" s="3">
        <v>0</v>
      </c>
      <c r="S121" s="3">
        <v>0</v>
      </c>
      <c r="T121" s="3">
        <v>34</v>
      </c>
      <c r="U121" s="3">
        <v>52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418.93</v>
      </c>
      <c r="X121" s="4">
        <f>IF(ISERROR(VLOOKUP($U$121,'TAR FIN'!$A$1:$O$88,15,0)),0,VLOOKUP($U$121,'TAR FIN'!$A$1:$O$88,15,0))</f>
        <v>145.38</v>
      </c>
      <c r="Y121" s="4"/>
      <c r="Z121" s="4">
        <f ca="1">('TUSD BE'!$AM$33+'TUSD BF'!$AM$33+'TUSD CVA'!$AM$33)*(1-CUSTOS!$M$38)</f>
        <v>497.93087316633921</v>
      </c>
      <c r="AA121" s="4">
        <f>('TE BE'!$AB$23+'TE BF'!$AB$23+'TE CVA'!$AB$23)*(1-CUSTOS!$M$38)</f>
        <v>144.71996911415522</v>
      </c>
      <c r="AB121" s="4">
        <f t="shared" si="8"/>
        <v>0</v>
      </c>
      <c r="AC121" s="4">
        <f>(L121-M121)*(W121+X121)+($W$38+$X$38-$W$121-$X$121)*(L121)</f>
        <v>17929.448159999996</v>
      </c>
      <c r="AD121" s="4">
        <f t="shared" si="9"/>
        <v>0</v>
      </c>
      <c r="AE121" s="4">
        <f ca="1">(L121-M121)*(Z121+AA121)+($Z$38+$AA$38-$Z$121-$AA$121)*(L121)</f>
        <v>9556.5325134210198</v>
      </c>
      <c r="AF121" s="3" t="s">
        <v>551</v>
      </c>
    </row>
    <row r="122" spans="1:32" ht="11.25" customHeight="1" x14ac:dyDescent="0.25">
      <c r="A122" s="3" t="s">
        <v>28</v>
      </c>
      <c r="B122" s="3" t="s">
        <v>40</v>
      </c>
      <c r="C122" s="3" t="s">
        <v>23</v>
      </c>
      <c r="D122" s="3" t="s">
        <v>41</v>
      </c>
      <c r="E122" s="3" t="s">
        <v>25</v>
      </c>
      <c r="F122" s="3" t="s">
        <v>25</v>
      </c>
      <c r="G122" s="3" t="s">
        <v>25</v>
      </c>
      <c r="H122" s="3" t="s">
        <v>25</v>
      </c>
      <c r="I122" s="6">
        <v>44470</v>
      </c>
      <c r="J122" s="4">
        <v>0</v>
      </c>
      <c r="K122" s="4">
        <v>0</v>
      </c>
      <c r="L122" s="4">
        <v>6.0389999999999997</v>
      </c>
      <c r="M122" s="4">
        <v>6.0389999999999997</v>
      </c>
      <c r="N122" s="4">
        <v>6.0389999999999997</v>
      </c>
      <c r="O122" s="4">
        <v>6.0389999999999997</v>
      </c>
      <c r="P122" s="4">
        <v>12</v>
      </c>
      <c r="Q122" s="3" t="s">
        <v>26</v>
      </c>
      <c r="R122" s="3">
        <v>0</v>
      </c>
      <c r="S122" s="3">
        <v>0</v>
      </c>
      <c r="T122" s="3">
        <v>34</v>
      </c>
      <c r="U122" s="3">
        <v>52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418.93</v>
      </c>
      <c r="X122" s="4">
        <f>IF(ISERROR(VLOOKUP($U$122,'TAR FIN'!$A$1:$O$88,15,0)),0,VLOOKUP($U$122,'TAR FIN'!$A$1:$O$88,15,0))</f>
        <v>145.38</v>
      </c>
      <c r="Y122" s="4"/>
      <c r="Z122" s="4">
        <f ca="1">('TUSD BE'!$AM$33+'TUSD BF'!$AM$33+'TUSD CVA'!$AM$33)*(1-CUSTOS!$M$38)</f>
        <v>497.93087316633921</v>
      </c>
      <c r="AA122" s="4">
        <f>('TE BE'!$AB$23+'TE BF'!$AB$23+'TE CVA'!$AB$23)*(1-CUSTOS!$M$38)</f>
        <v>144.71996911415522</v>
      </c>
      <c r="AB122" s="4">
        <f t="shared" si="8"/>
        <v>0</v>
      </c>
      <c r="AC122" s="4">
        <f>(L122-M122)*(W122+X122)+($W$38+$X$38-$W$122-$X$122)*(L122)</f>
        <v>464.76143999999988</v>
      </c>
      <c r="AD122" s="4">
        <f t="shared" si="9"/>
        <v>0</v>
      </c>
      <c r="AE122" s="4">
        <f ca="1">(L122-M122)*(Z122+AA122)+($Z$38+$AA$38-$Z$122-$AA$122)*(L122)</f>
        <v>247.72138956586673</v>
      </c>
      <c r="AF122" s="3" t="s">
        <v>551</v>
      </c>
    </row>
    <row r="123" spans="1:32" ht="11.25" customHeight="1" x14ac:dyDescent="0.25">
      <c r="A123" s="3" t="s">
        <v>21</v>
      </c>
      <c r="B123" s="3" t="s">
        <v>40</v>
      </c>
      <c r="C123" s="3" t="s">
        <v>23</v>
      </c>
      <c r="D123" s="3" t="s">
        <v>41</v>
      </c>
      <c r="E123" s="3" t="s">
        <v>25</v>
      </c>
      <c r="F123" s="3" t="s">
        <v>25</v>
      </c>
      <c r="G123" s="3" t="s">
        <v>25</v>
      </c>
      <c r="H123" s="3" t="s">
        <v>25</v>
      </c>
      <c r="I123" s="6">
        <v>44501</v>
      </c>
      <c r="J123" s="4">
        <v>0</v>
      </c>
      <c r="K123" s="4">
        <v>0</v>
      </c>
      <c r="L123" s="4">
        <v>266.19200000000001</v>
      </c>
      <c r="M123" s="4">
        <v>266.19200000000001</v>
      </c>
      <c r="N123" s="4">
        <v>266.19200000000001</v>
      </c>
      <c r="O123" s="4">
        <v>266.19200000000001</v>
      </c>
      <c r="P123" s="4">
        <v>1188</v>
      </c>
      <c r="Q123" s="3" t="s">
        <v>26</v>
      </c>
      <c r="R123" s="3">
        <v>0</v>
      </c>
      <c r="S123" s="3">
        <v>0</v>
      </c>
      <c r="T123" s="3">
        <v>34</v>
      </c>
      <c r="U123" s="3">
        <v>52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418.93</v>
      </c>
      <c r="X123" s="4">
        <f>IF(ISERROR(VLOOKUP($U$123,'TAR FIN'!$A$1:$O$88,15,0)),0,VLOOKUP($U$123,'TAR FIN'!$A$1:$O$88,15,0))</f>
        <v>145.38</v>
      </c>
      <c r="Y123" s="4"/>
      <c r="Z123" s="4">
        <f ca="1">('TUSD BE'!$AM$33+'TUSD BF'!$AM$33+'TUSD CVA'!$AM$33)*(1-CUSTOS!$M$38)</f>
        <v>497.93087316633921</v>
      </c>
      <c r="AA123" s="4">
        <f>('TE BE'!$AB$23+'TE BF'!$AB$23+'TE CVA'!$AB$23)*(1-CUSTOS!$M$38)</f>
        <v>144.71996911415522</v>
      </c>
      <c r="AB123" s="4">
        <f t="shared" si="8"/>
        <v>0</v>
      </c>
      <c r="AC123" s="4">
        <f>(L123-M123)*(W123+X123)+($W$38+$X$38-$W$123-$X$123)*(L123)</f>
        <v>20486.136319999994</v>
      </c>
      <c r="AD123" s="4">
        <f t="shared" si="9"/>
        <v>0</v>
      </c>
      <c r="AE123" s="4">
        <f ca="1">(L123-M123)*(Z123+AA123)+($Z$38+$AA$38-$Z$123-$AA$123)*(L123)</f>
        <v>10919.266787765722</v>
      </c>
      <c r="AF123" s="3" t="s">
        <v>551</v>
      </c>
    </row>
    <row r="124" spans="1:32" ht="11.25" customHeight="1" x14ac:dyDescent="0.25">
      <c r="A124" s="3" t="s">
        <v>28</v>
      </c>
      <c r="B124" s="3" t="s">
        <v>40</v>
      </c>
      <c r="C124" s="3" t="s">
        <v>23</v>
      </c>
      <c r="D124" s="3" t="s">
        <v>41</v>
      </c>
      <c r="E124" s="3" t="s">
        <v>25</v>
      </c>
      <c r="F124" s="3" t="s">
        <v>25</v>
      </c>
      <c r="G124" s="3" t="s">
        <v>25</v>
      </c>
      <c r="H124" s="3" t="s">
        <v>25</v>
      </c>
      <c r="I124" s="6">
        <v>44501</v>
      </c>
      <c r="J124" s="4">
        <v>0</v>
      </c>
      <c r="K124" s="4">
        <v>0</v>
      </c>
      <c r="L124" s="4">
        <v>3.8940000000000001</v>
      </c>
      <c r="M124" s="4">
        <v>3.8940000000000001</v>
      </c>
      <c r="N124" s="4">
        <v>3.8940000000000001</v>
      </c>
      <c r="O124" s="4">
        <v>3.8940000000000001</v>
      </c>
      <c r="P124" s="4">
        <v>12</v>
      </c>
      <c r="Q124" s="3" t="s">
        <v>26</v>
      </c>
      <c r="R124" s="3">
        <v>0</v>
      </c>
      <c r="S124" s="3">
        <v>0</v>
      </c>
      <c r="T124" s="3">
        <v>34</v>
      </c>
      <c r="U124" s="3">
        <v>52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418.93</v>
      </c>
      <c r="X124" s="4">
        <f>IF(ISERROR(VLOOKUP($U$124,'TAR FIN'!$A$1:$O$88,15,0)),0,VLOOKUP($U$124,'TAR FIN'!$A$1:$O$88,15,0))</f>
        <v>145.38</v>
      </c>
      <c r="Y124" s="4"/>
      <c r="Z124" s="4">
        <f ca="1">('TUSD BE'!$AM$33+'TUSD BF'!$AM$33+'TUSD CVA'!$AM$33)*(1-CUSTOS!$M$38)</f>
        <v>497.93087316633921</v>
      </c>
      <c r="AA124" s="4">
        <f>('TE BE'!$AB$23+'TE BF'!$AB$23+'TE CVA'!$AB$23)*(1-CUSTOS!$M$38)</f>
        <v>144.71996911415522</v>
      </c>
      <c r="AB124" s="4">
        <f t="shared" si="8"/>
        <v>0</v>
      </c>
      <c r="AC124" s="4">
        <f>(L124-M124)*(W124+X124)+($W$38+$X$38-$W$124-$X$124)*(L124)</f>
        <v>299.68223999999992</v>
      </c>
      <c r="AD124" s="4">
        <f t="shared" si="9"/>
        <v>0</v>
      </c>
      <c r="AE124" s="4">
        <f ca="1">(L124-M124)*(Z124+AA124)+($Z$38+$AA$38-$Z$124-$AA$124)*(L124)</f>
        <v>159.73291786214358</v>
      </c>
      <c r="AF124" s="3" t="s">
        <v>551</v>
      </c>
    </row>
    <row r="125" spans="1:32" ht="11.25" customHeight="1" x14ac:dyDescent="0.25">
      <c r="A125" s="3" t="s">
        <v>21</v>
      </c>
      <c r="B125" s="3" t="s">
        <v>40</v>
      </c>
      <c r="C125" s="3" t="s">
        <v>23</v>
      </c>
      <c r="D125" s="3" t="s">
        <v>41</v>
      </c>
      <c r="E125" s="3" t="s">
        <v>25</v>
      </c>
      <c r="F125" s="3" t="s">
        <v>25</v>
      </c>
      <c r="G125" s="3" t="s">
        <v>25</v>
      </c>
      <c r="H125" s="3" t="s">
        <v>25</v>
      </c>
      <c r="I125" s="6">
        <v>44531</v>
      </c>
      <c r="J125" s="4">
        <v>0</v>
      </c>
      <c r="K125" s="4">
        <v>0</v>
      </c>
      <c r="L125" s="4">
        <v>309.351</v>
      </c>
      <c r="M125" s="4">
        <v>309.351</v>
      </c>
      <c r="N125" s="4">
        <v>309.351</v>
      </c>
      <c r="O125" s="4">
        <v>309.351</v>
      </c>
      <c r="P125" s="4">
        <v>1181</v>
      </c>
      <c r="Q125" s="3" t="s">
        <v>26</v>
      </c>
      <c r="R125" s="3">
        <v>0</v>
      </c>
      <c r="S125" s="3">
        <v>0</v>
      </c>
      <c r="T125" s="3">
        <v>34</v>
      </c>
      <c r="U125" s="3">
        <v>52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418.93</v>
      </c>
      <c r="X125" s="4">
        <f>IF(ISERROR(VLOOKUP($U$125,'TAR FIN'!$A$1:$O$88,15,0)),0,VLOOKUP($U$125,'TAR FIN'!$A$1:$O$88,15,0))</f>
        <v>145.38</v>
      </c>
      <c r="Y125" s="4"/>
      <c r="Z125" s="4">
        <f ca="1">('TUSD BE'!$AM$33+'TUSD BF'!$AM$33+'TUSD CVA'!$AM$33)*(1-CUSTOS!$M$38)</f>
        <v>497.93087316633921</v>
      </c>
      <c r="AA125" s="4">
        <f>('TE BE'!$AB$23+'TE BF'!$AB$23+'TE CVA'!$AB$23)*(1-CUSTOS!$M$38)</f>
        <v>144.71996911415522</v>
      </c>
      <c r="AB125" s="4">
        <f t="shared" si="8"/>
        <v>0</v>
      </c>
      <c r="AC125" s="4">
        <f>(L125-M125)*(W125+X125)+($W$38+$X$38-$W$125-$X$125)*(L125)</f>
        <v>23807.652959999992</v>
      </c>
      <c r="AD125" s="4">
        <f t="shared" si="9"/>
        <v>0</v>
      </c>
      <c r="AE125" s="4">
        <f ca="1">(L125-M125)*(Z125+AA125)+($Z$38+$AA$38-$Z$125-$AA$125)*(L125)</f>
        <v>12689.660470871078</v>
      </c>
      <c r="AF125" s="3" t="s">
        <v>551</v>
      </c>
    </row>
    <row r="126" spans="1:32" ht="11.25" customHeight="1" x14ac:dyDescent="0.25">
      <c r="A126" s="3" t="s">
        <v>28</v>
      </c>
      <c r="B126" s="3" t="s">
        <v>40</v>
      </c>
      <c r="C126" s="3" t="s">
        <v>23</v>
      </c>
      <c r="D126" s="3" t="s">
        <v>41</v>
      </c>
      <c r="E126" s="3" t="s">
        <v>25</v>
      </c>
      <c r="F126" s="3" t="s">
        <v>25</v>
      </c>
      <c r="G126" s="3" t="s">
        <v>25</v>
      </c>
      <c r="H126" s="3" t="s">
        <v>25</v>
      </c>
      <c r="I126" s="6">
        <v>44531</v>
      </c>
      <c r="J126" s="4">
        <v>0</v>
      </c>
      <c r="K126" s="4">
        <v>0</v>
      </c>
      <c r="L126" s="4">
        <v>2.5529999999999999</v>
      </c>
      <c r="M126" s="4">
        <v>2.5529999999999999</v>
      </c>
      <c r="N126" s="4">
        <v>2.5529999999999999</v>
      </c>
      <c r="O126" s="4">
        <v>2.5529999999999999</v>
      </c>
      <c r="P126" s="4">
        <v>13</v>
      </c>
      <c r="Q126" s="3" t="s">
        <v>26</v>
      </c>
      <c r="R126" s="3">
        <v>0</v>
      </c>
      <c r="S126" s="3">
        <v>0</v>
      </c>
      <c r="T126" s="3">
        <v>34</v>
      </c>
      <c r="U126" s="3">
        <v>52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418.93</v>
      </c>
      <c r="X126" s="4">
        <f>IF(ISERROR(VLOOKUP($U$126,'TAR FIN'!$A$1:$O$88,15,0)),0,VLOOKUP($U$126,'TAR FIN'!$A$1:$O$88,15,0))</f>
        <v>145.38</v>
      </c>
      <c r="Y126" s="4"/>
      <c r="Z126" s="4">
        <f ca="1">('TUSD BE'!$AM$33+'TUSD BF'!$AM$33+'TUSD CVA'!$AM$33)*(1-CUSTOS!$M$38)</f>
        <v>497.93087316633921</v>
      </c>
      <c r="AA126" s="4">
        <f>('TE BE'!$AB$23+'TE BF'!$AB$23+'TE CVA'!$AB$23)*(1-CUSTOS!$M$38)</f>
        <v>144.71996911415522</v>
      </c>
      <c r="AB126" s="4">
        <f t="shared" si="8"/>
        <v>0</v>
      </c>
      <c r="AC126" s="4">
        <f>(L126-M126)*(W126+X126)+($W$38+$X$38-$W$126-$X$126)*(L126)</f>
        <v>196.47887999999995</v>
      </c>
      <c r="AD126" s="4">
        <f t="shared" si="9"/>
        <v>0</v>
      </c>
      <c r="AE126" s="4">
        <f ca="1">(L126-M126)*(Z126+AA126)+($Z$38+$AA$38-$Z$126-$AA$126)*(L126)</f>
        <v>104.7247404473684</v>
      </c>
      <c r="AF126" s="3" t="s">
        <v>551</v>
      </c>
    </row>
    <row r="127" spans="1:32" ht="11.25" customHeight="1" x14ac:dyDescent="0.25">
      <c r="A127" s="3" t="s">
        <v>21</v>
      </c>
      <c r="B127" s="3" t="s">
        <v>40</v>
      </c>
      <c r="C127" s="3" t="s">
        <v>23</v>
      </c>
      <c r="D127" s="3" t="s">
        <v>41</v>
      </c>
      <c r="E127" s="3" t="s">
        <v>25</v>
      </c>
      <c r="F127" s="3" t="s">
        <v>25</v>
      </c>
      <c r="G127" s="3" t="s">
        <v>25</v>
      </c>
      <c r="H127" s="3" t="s">
        <v>25</v>
      </c>
      <c r="I127" s="6">
        <v>44562</v>
      </c>
      <c r="J127" s="4">
        <v>0</v>
      </c>
      <c r="K127" s="4">
        <v>0</v>
      </c>
      <c r="L127" s="4">
        <v>338.16500000000002</v>
      </c>
      <c r="M127" s="4">
        <v>338.16500000000002</v>
      </c>
      <c r="N127" s="4">
        <v>338.16500000000002</v>
      </c>
      <c r="O127" s="4">
        <v>338.16500000000002</v>
      </c>
      <c r="P127" s="4">
        <v>1185</v>
      </c>
      <c r="Q127" s="3" t="s">
        <v>26</v>
      </c>
      <c r="R127" s="3">
        <v>0</v>
      </c>
      <c r="S127" s="3">
        <v>0</v>
      </c>
      <c r="T127" s="3">
        <v>34</v>
      </c>
      <c r="U127" s="3">
        <v>52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418.93</v>
      </c>
      <c r="X127" s="4">
        <f>IF(ISERROR(VLOOKUP($U$127,'TAR FIN'!$A$1:$O$88,15,0)),0,VLOOKUP($U$127,'TAR FIN'!$A$1:$O$88,15,0))</f>
        <v>145.38</v>
      </c>
      <c r="Y127" s="4"/>
      <c r="Z127" s="4">
        <f ca="1">('TUSD BE'!$AM$33+'TUSD BF'!$AM$33+'TUSD CVA'!$AM$33)*(1-CUSTOS!$M$38)</f>
        <v>497.93087316633921</v>
      </c>
      <c r="AA127" s="4">
        <f>('TE BE'!$AB$23+'TE BF'!$AB$23+'TE CVA'!$AB$23)*(1-CUSTOS!$M$38)</f>
        <v>144.71996911415522</v>
      </c>
      <c r="AB127" s="4">
        <f t="shared" si="8"/>
        <v>0</v>
      </c>
      <c r="AC127" s="4">
        <f>(L127-M127)*(W127+X127)+($W$38+$X$38-$W$127-$X$127)*(L127)</f>
        <v>26025.178399999993</v>
      </c>
      <c r="AD127" s="4">
        <f t="shared" si="9"/>
        <v>0</v>
      </c>
      <c r="AE127" s="4">
        <f ca="1">(L127-M127)*(Z127+AA127)+($Z$38+$AA$38-$Z$127-$AA$127)*(L127)</f>
        <v>13871.618430624496</v>
      </c>
      <c r="AF127" s="3" t="s">
        <v>551</v>
      </c>
    </row>
    <row r="128" spans="1:32" ht="11.25" customHeight="1" x14ac:dyDescent="0.25">
      <c r="A128" s="3" t="s">
        <v>28</v>
      </c>
      <c r="B128" s="3" t="s">
        <v>40</v>
      </c>
      <c r="C128" s="3" t="s">
        <v>23</v>
      </c>
      <c r="D128" s="3" t="s">
        <v>41</v>
      </c>
      <c r="E128" s="3" t="s">
        <v>25</v>
      </c>
      <c r="F128" s="3" t="s">
        <v>25</v>
      </c>
      <c r="G128" s="3" t="s">
        <v>25</v>
      </c>
      <c r="H128" s="3" t="s">
        <v>25</v>
      </c>
      <c r="I128" s="6">
        <v>44562</v>
      </c>
      <c r="J128" s="4">
        <v>0</v>
      </c>
      <c r="K128" s="4">
        <v>0</v>
      </c>
      <c r="L128" s="4">
        <v>1.798</v>
      </c>
      <c r="M128" s="4">
        <v>1.798</v>
      </c>
      <c r="N128" s="4">
        <v>1.798</v>
      </c>
      <c r="O128" s="4">
        <v>1.798</v>
      </c>
      <c r="P128" s="4">
        <v>13</v>
      </c>
      <c r="Q128" s="3" t="s">
        <v>26</v>
      </c>
      <c r="R128" s="3">
        <v>0</v>
      </c>
      <c r="S128" s="3">
        <v>0</v>
      </c>
      <c r="T128" s="3">
        <v>34</v>
      </c>
      <c r="U128" s="3">
        <v>52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418.93</v>
      </c>
      <c r="X128" s="4">
        <f>IF(ISERROR(VLOOKUP($U$128,'TAR FIN'!$A$1:$O$88,15,0)),0,VLOOKUP($U$128,'TAR FIN'!$A$1:$O$88,15,0))</f>
        <v>145.38</v>
      </c>
      <c r="Y128" s="4"/>
      <c r="Z128" s="4">
        <f ca="1">('TUSD BE'!$AM$33+'TUSD BF'!$AM$33+'TUSD CVA'!$AM$33)*(1-CUSTOS!$M$38)</f>
        <v>497.93087316633921</v>
      </c>
      <c r="AA128" s="4">
        <f>('TE BE'!$AB$23+'TE BF'!$AB$23+'TE CVA'!$AB$23)*(1-CUSTOS!$M$38)</f>
        <v>144.71996911415522</v>
      </c>
      <c r="AB128" s="4">
        <f t="shared" si="8"/>
        <v>0</v>
      </c>
      <c r="AC128" s="4">
        <f>(L128-M128)*(W128+X128)+($W$38+$X$38-$W$128-$X$128)*(L128)</f>
        <v>138.37407999999996</v>
      </c>
      <c r="AD128" s="4">
        <f t="shared" si="9"/>
        <v>0</v>
      </c>
      <c r="AE128" s="4">
        <f ca="1">(L128-M128)*(Z128+AA128)+($Z$38+$AA$38-$Z$128-$AA$128)*(L128)</f>
        <v>73.754439218318993</v>
      </c>
      <c r="AF128" s="3" t="s">
        <v>551</v>
      </c>
    </row>
    <row r="129" spans="1:32" ht="11.25" customHeight="1" x14ac:dyDescent="0.25">
      <c r="A129" s="3" t="s">
        <v>21</v>
      </c>
      <c r="B129" s="3" t="s">
        <v>40</v>
      </c>
      <c r="C129" s="3" t="s">
        <v>23</v>
      </c>
      <c r="D129" s="3" t="s">
        <v>41</v>
      </c>
      <c r="E129" s="3" t="s">
        <v>25</v>
      </c>
      <c r="F129" s="3" t="s">
        <v>25</v>
      </c>
      <c r="G129" s="3" t="s">
        <v>25</v>
      </c>
      <c r="H129" s="3" t="s">
        <v>25</v>
      </c>
      <c r="I129" s="6">
        <v>44593</v>
      </c>
      <c r="J129" s="4">
        <v>0</v>
      </c>
      <c r="K129" s="4">
        <v>0</v>
      </c>
      <c r="L129" s="4">
        <v>270.61399999999998</v>
      </c>
      <c r="M129" s="4">
        <v>270.61399999999998</v>
      </c>
      <c r="N129" s="4">
        <v>270.61399999999998</v>
      </c>
      <c r="O129" s="4">
        <v>270.61399999999998</v>
      </c>
      <c r="P129" s="4">
        <v>1166</v>
      </c>
      <c r="Q129" s="3" t="s">
        <v>26</v>
      </c>
      <c r="R129" s="3">
        <v>0</v>
      </c>
      <c r="S129" s="3">
        <v>0</v>
      </c>
      <c r="T129" s="3">
        <v>34</v>
      </c>
      <c r="U129" s="3">
        <v>52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418.93</v>
      </c>
      <c r="X129" s="4">
        <f>IF(ISERROR(VLOOKUP($U$129,'TAR FIN'!$A$1:$O$88,15,0)),0,VLOOKUP($U$129,'TAR FIN'!$A$1:$O$88,15,0))</f>
        <v>145.38</v>
      </c>
      <c r="Y129" s="4"/>
      <c r="Z129" s="4">
        <f ca="1">('TUSD BE'!$AM$33+'TUSD BF'!$AM$33+'TUSD CVA'!$AM$33)*(1-CUSTOS!$M$38)</f>
        <v>497.93087316633921</v>
      </c>
      <c r="AA129" s="4">
        <f>('TE BE'!$AB$23+'TE BF'!$AB$23+'TE CVA'!$AB$23)*(1-CUSTOS!$M$38)</f>
        <v>144.71996911415522</v>
      </c>
      <c r="AB129" s="4">
        <f t="shared" si="8"/>
        <v>0</v>
      </c>
      <c r="AC129" s="4">
        <f>(L129-M129)*(W129+X129)+($W$38+$X$38-$W$129-$X$129)*(L129)</f>
        <v>20826.453439999994</v>
      </c>
      <c r="AD129" s="4">
        <f t="shared" si="9"/>
        <v>0</v>
      </c>
      <c r="AE129" s="4">
        <f ca="1">(L129-M129)*(Z129+AA129)+($Z$38+$AA$38-$Z$129-$AA$129)*(L129)</f>
        <v>11100.658406354936</v>
      </c>
      <c r="AF129" s="3" t="s">
        <v>551</v>
      </c>
    </row>
    <row r="130" spans="1:32" ht="11.25" customHeight="1" x14ac:dyDescent="0.25">
      <c r="A130" s="3" t="s">
        <v>27</v>
      </c>
      <c r="B130" s="3" t="s">
        <v>40</v>
      </c>
      <c r="C130" s="3" t="s">
        <v>23</v>
      </c>
      <c r="D130" s="3" t="s">
        <v>41</v>
      </c>
      <c r="E130" s="3" t="s">
        <v>25</v>
      </c>
      <c r="F130" s="3" t="s">
        <v>25</v>
      </c>
      <c r="G130" s="3" t="s">
        <v>25</v>
      </c>
      <c r="H130" s="3" t="s">
        <v>25</v>
      </c>
      <c r="I130" s="6">
        <v>44593</v>
      </c>
      <c r="J130" s="4">
        <v>0</v>
      </c>
      <c r="K130" s="4">
        <v>0</v>
      </c>
      <c r="L130" s="4">
        <v>-6.0999999999999999E-2</v>
      </c>
      <c r="M130" s="4">
        <v>-6.0999999999999999E-2</v>
      </c>
      <c r="N130" s="4">
        <v>-6.0999999999999999E-2</v>
      </c>
      <c r="O130" s="4">
        <v>-6.0999999999999999E-2</v>
      </c>
      <c r="P130" s="4">
        <v>0</v>
      </c>
      <c r="Q130" s="3" t="s">
        <v>26</v>
      </c>
      <c r="R130" s="3">
        <v>0</v>
      </c>
      <c r="S130" s="3">
        <v>0</v>
      </c>
      <c r="T130" s="3">
        <v>34</v>
      </c>
      <c r="U130" s="3">
        <v>52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418.93</v>
      </c>
      <c r="X130" s="4">
        <f>IF(ISERROR(VLOOKUP($U$130,'TAR FIN'!$A$1:$O$88,15,0)),0,VLOOKUP($U$130,'TAR FIN'!$A$1:$O$88,15,0))</f>
        <v>145.38</v>
      </c>
      <c r="Y130" s="4"/>
      <c r="Z130" s="4">
        <f ca="1">('TUSD BE'!$AM$33+'TUSD BF'!$AM$33+'TUSD CVA'!$AM$33)*(1-CUSTOS!$M$38)</f>
        <v>497.93087316633921</v>
      </c>
      <c r="AA130" s="4">
        <f>('TE BE'!$AB$23+'TE BF'!$AB$23+'TE CVA'!$AB$23)*(1-CUSTOS!$M$38)</f>
        <v>144.71996911415522</v>
      </c>
      <c r="AB130" s="4">
        <f t="shared" ref="AB130:AB144" si="10">(J130-K130)*V130</f>
        <v>0</v>
      </c>
      <c r="AC130" s="4">
        <f>(L130-M130)*(W130+X130)+($W$38+$X$38-$W$130-$X$130)*(L130)</f>
        <v>-4.6945599999999983</v>
      </c>
      <c r="AD130" s="4">
        <f t="shared" ref="AD130:AD144" si="11">(J130-K130)*Y130</f>
        <v>0</v>
      </c>
      <c r="AE130" s="4">
        <f ca="1">(L130-M130)*(Z130+AA130)+($Z$38+$AA$38-$Z$130-$AA$130)*(L130)</f>
        <v>-2.5022362582410782</v>
      </c>
      <c r="AF130" s="3" t="s">
        <v>551</v>
      </c>
    </row>
    <row r="131" spans="1:32" ht="11.25" customHeight="1" x14ac:dyDescent="0.25">
      <c r="A131" s="3" t="s">
        <v>28</v>
      </c>
      <c r="B131" s="3" t="s">
        <v>40</v>
      </c>
      <c r="C131" s="3" t="s">
        <v>23</v>
      </c>
      <c r="D131" s="3" t="s">
        <v>41</v>
      </c>
      <c r="E131" s="3" t="s">
        <v>25</v>
      </c>
      <c r="F131" s="3" t="s">
        <v>25</v>
      </c>
      <c r="G131" s="3" t="s">
        <v>25</v>
      </c>
      <c r="H131" s="3" t="s">
        <v>25</v>
      </c>
      <c r="I131" s="6">
        <v>44593</v>
      </c>
      <c r="J131" s="4">
        <v>0</v>
      </c>
      <c r="K131" s="4">
        <v>0</v>
      </c>
      <c r="L131" s="4">
        <v>7.5090000000000003</v>
      </c>
      <c r="M131" s="4">
        <v>7.5090000000000003</v>
      </c>
      <c r="N131" s="4">
        <v>7.5090000000000003</v>
      </c>
      <c r="O131" s="4">
        <v>7.5090000000000003</v>
      </c>
      <c r="P131" s="4">
        <v>16</v>
      </c>
      <c r="Q131" s="3" t="s">
        <v>26</v>
      </c>
      <c r="R131" s="3">
        <v>0</v>
      </c>
      <c r="S131" s="3">
        <v>0</v>
      </c>
      <c r="T131" s="3">
        <v>34</v>
      </c>
      <c r="U131" s="3">
        <v>52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418.93</v>
      </c>
      <c r="X131" s="4">
        <f>IF(ISERROR(VLOOKUP($U$131,'TAR FIN'!$A$1:$O$88,15,0)),0,VLOOKUP($U$131,'TAR FIN'!$A$1:$O$88,15,0))</f>
        <v>145.38</v>
      </c>
      <c r="Y131" s="4"/>
      <c r="Z131" s="4">
        <f ca="1">('TUSD BE'!$AM$33+'TUSD BF'!$AM$33+'TUSD CVA'!$AM$33)*(1-CUSTOS!$M$38)</f>
        <v>497.93087316633921</v>
      </c>
      <c r="AA131" s="4">
        <f>('TE BE'!$AB$23+'TE BF'!$AB$23+'TE CVA'!$AB$23)*(1-CUSTOS!$M$38)</f>
        <v>144.71996911415522</v>
      </c>
      <c r="AB131" s="4">
        <f t="shared" si="10"/>
        <v>0</v>
      </c>
      <c r="AC131" s="4">
        <f>(L131-M131)*(W131+X131)+($W$38+$X$38-$W$131-$X$131)*(L131)</f>
        <v>577.89263999999991</v>
      </c>
      <c r="AD131" s="4">
        <f t="shared" si="11"/>
        <v>0</v>
      </c>
      <c r="AE131" s="4">
        <f ca="1">(L131-M131)*(Z131+AA131)+($Z$38+$AA$38-$Z$131-$AA$131)*(L131)</f>
        <v>308.02118136282388</v>
      </c>
      <c r="AF131" s="3" t="s">
        <v>551</v>
      </c>
    </row>
    <row r="132" spans="1:32" ht="11.25" customHeight="1" x14ac:dyDescent="0.25">
      <c r="A132" s="3" t="s">
        <v>21</v>
      </c>
      <c r="B132" s="3" t="s">
        <v>40</v>
      </c>
      <c r="C132" s="3" t="s">
        <v>23</v>
      </c>
      <c r="D132" s="3" t="s">
        <v>41</v>
      </c>
      <c r="E132" s="3" t="s">
        <v>25</v>
      </c>
      <c r="F132" s="3" t="s">
        <v>25</v>
      </c>
      <c r="G132" s="3" t="s">
        <v>25</v>
      </c>
      <c r="H132" s="3" t="s">
        <v>25</v>
      </c>
      <c r="I132" s="6">
        <v>44621</v>
      </c>
      <c r="J132" s="4">
        <v>0</v>
      </c>
      <c r="K132" s="4">
        <v>0</v>
      </c>
      <c r="L132" s="4">
        <v>262.28100000000001</v>
      </c>
      <c r="M132" s="4">
        <v>262.28100000000001</v>
      </c>
      <c r="N132" s="4">
        <v>262.28100000000001</v>
      </c>
      <c r="O132" s="4">
        <v>262.28100000000001</v>
      </c>
      <c r="P132" s="4">
        <v>1156</v>
      </c>
      <c r="Q132" s="3" t="s">
        <v>26</v>
      </c>
      <c r="R132" s="3">
        <v>0</v>
      </c>
      <c r="S132" s="3">
        <v>0</v>
      </c>
      <c r="T132" s="3">
        <v>34</v>
      </c>
      <c r="U132" s="3">
        <v>52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418.93</v>
      </c>
      <c r="X132" s="4">
        <f>IF(ISERROR(VLOOKUP($U$132,'TAR FIN'!$A$1:$O$88,15,0)),0,VLOOKUP($U$132,'TAR FIN'!$A$1:$O$88,15,0))</f>
        <v>145.38</v>
      </c>
      <c r="Y132" s="4"/>
      <c r="Z132" s="4">
        <f ca="1">('TUSD BE'!$AM$33+'TUSD BF'!$AM$33+'TUSD CVA'!$AM$33)*(1-CUSTOS!$M$38)</f>
        <v>497.93087316633921</v>
      </c>
      <c r="AA132" s="4">
        <f>('TE BE'!$AB$23+'TE BF'!$AB$23+'TE CVA'!$AB$23)*(1-CUSTOS!$M$38)</f>
        <v>144.71996911415522</v>
      </c>
      <c r="AB132" s="4">
        <f t="shared" si="10"/>
        <v>0</v>
      </c>
      <c r="AC132" s="4">
        <f>(L132-M132)*(W132+X132)+($W$38+$X$38-$W$132-$X$132)*(L132)</f>
        <v>20185.145759999996</v>
      </c>
      <c r="AD132" s="4">
        <f t="shared" si="11"/>
        <v>0</v>
      </c>
      <c r="AE132" s="4">
        <f ca="1">(L132-M132)*(Z132+AA132)+($Z$38+$AA$38-$Z$132-$AA$132)*(L132)</f>
        <v>10758.836525372593</v>
      </c>
      <c r="AF132" s="3" t="s">
        <v>551</v>
      </c>
    </row>
    <row r="133" spans="1:32" ht="11.25" customHeight="1" x14ac:dyDescent="0.25">
      <c r="A133" s="3" t="s">
        <v>28</v>
      </c>
      <c r="B133" s="3" t="s">
        <v>40</v>
      </c>
      <c r="C133" s="3" t="s">
        <v>23</v>
      </c>
      <c r="D133" s="3" t="s">
        <v>41</v>
      </c>
      <c r="E133" s="3" t="s">
        <v>25</v>
      </c>
      <c r="F133" s="3" t="s">
        <v>25</v>
      </c>
      <c r="G133" s="3" t="s">
        <v>25</v>
      </c>
      <c r="H133" s="3" t="s">
        <v>25</v>
      </c>
      <c r="I133" s="6">
        <v>44621</v>
      </c>
      <c r="J133" s="4">
        <v>0</v>
      </c>
      <c r="K133" s="4">
        <v>0</v>
      </c>
      <c r="L133" s="4">
        <v>8.1289999999999996</v>
      </c>
      <c r="M133" s="4">
        <v>8.1289999999999996</v>
      </c>
      <c r="N133" s="4">
        <v>8.1289999999999996</v>
      </c>
      <c r="O133" s="4">
        <v>8.1289999999999996</v>
      </c>
      <c r="P133" s="4">
        <v>20</v>
      </c>
      <c r="Q133" s="3" t="s">
        <v>26</v>
      </c>
      <c r="R133" s="3">
        <v>0</v>
      </c>
      <c r="S133" s="3">
        <v>0</v>
      </c>
      <c r="T133" s="3">
        <v>34</v>
      </c>
      <c r="U133" s="3">
        <v>52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418.93</v>
      </c>
      <c r="X133" s="4">
        <f>IF(ISERROR(VLOOKUP($U$133,'TAR FIN'!$A$1:$O$88,15,0)),0,VLOOKUP($U$133,'TAR FIN'!$A$1:$O$88,15,0))</f>
        <v>145.38</v>
      </c>
      <c r="Y133" s="4"/>
      <c r="Z133" s="4">
        <f ca="1">('TUSD BE'!$AM$33+'TUSD BF'!$AM$33+'TUSD CVA'!$AM$33)*(1-CUSTOS!$M$38)</f>
        <v>497.93087316633921</v>
      </c>
      <c r="AA133" s="4">
        <f>('TE BE'!$AB$23+'TE BF'!$AB$23+'TE CVA'!$AB$23)*(1-CUSTOS!$M$38)</f>
        <v>144.71996911415522</v>
      </c>
      <c r="AB133" s="4">
        <f t="shared" si="10"/>
        <v>0</v>
      </c>
      <c r="AC133" s="4">
        <f>(L133-M133)*(W133+X133)+($W$38+$X$38-$W$133-$X$133)*(L133)</f>
        <v>625.60783999999978</v>
      </c>
      <c r="AD133" s="4">
        <f t="shared" si="11"/>
        <v>0</v>
      </c>
      <c r="AE133" s="4">
        <f ca="1">(L133-M133)*(Z133+AA133)+($Z$38+$AA$38-$Z$133-$AA$133)*(L133)</f>
        <v>333.45374661052006</v>
      </c>
      <c r="AF133" s="3" t="s">
        <v>551</v>
      </c>
    </row>
    <row r="134" spans="1:32" ht="11.25" customHeight="1" x14ac:dyDescent="0.25">
      <c r="A134" s="3" t="s">
        <v>21</v>
      </c>
      <c r="B134" s="3" t="s">
        <v>40</v>
      </c>
      <c r="C134" s="3" t="s">
        <v>23</v>
      </c>
      <c r="D134" s="3" t="s">
        <v>41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44652</v>
      </c>
      <c r="J134" s="4">
        <v>0</v>
      </c>
      <c r="K134" s="4">
        <v>0</v>
      </c>
      <c r="L134" s="4">
        <v>253.72900000000001</v>
      </c>
      <c r="M134" s="4">
        <v>253.72900000000001</v>
      </c>
      <c r="N134" s="4">
        <v>253.72900000000001</v>
      </c>
      <c r="O134" s="4">
        <v>253.72900000000001</v>
      </c>
      <c r="P134" s="4">
        <v>1150</v>
      </c>
      <c r="Q134" s="3" t="s">
        <v>26</v>
      </c>
      <c r="R134" s="3">
        <v>0</v>
      </c>
      <c r="S134" s="3">
        <v>0</v>
      </c>
      <c r="T134" s="3">
        <v>34</v>
      </c>
      <c r="U134" s="3">
        <v>52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418.93</v>
      </c>
      <c r="X134" s="4">
        <f>IF(ISERROR(VLOOKUP($U$134,'TAR FIN'!$A$1:$O$88,15,0)),0,VLOOKUP($U$134,'TAR FIN'!$A$1:$O$88,15,0))</f>
        <v>145.38</v>
      </c>
      <c r="Y134" s="4"/>
      <c r="Z134" s="4">
        <f ca="1">('TUSD BE'!$AM$33+'TUSD BF'!$AM$33+'TUSD CVA'!$AM$33)*(1-CUSTOS!$M$38)</f>
        <v>497.93087316633921</v>
      </c>
      <c r="AA134" s="4">
        <f>('TE BE'!$AB$23+'TE BF'!$AB$23+'TE CVA'!$AB$23)*(1-CUSTOS!$M$38)</f>
        <v>144.71996911415522</v>
      </c>
      <c r="AB134" s="4">
        <f t="shared" si="10"/>
        <v>0</v>
      </c>
      <c r="AC134" s="4">
        <f>(L134-M134)*(W134+X134)+($W$38+$X$38-$W$134-$X$134)*(L134)</f>
        <v>19526.983839999997</v>
      </c>
      <c r="AD134" s="4">
        <f t="shared" si="11"/>
        <v>0</v>
      </c>
      <c r="AE134" s="4">
        <f ca="1">(L134-M134)*(Z134+AA134)+($Z$38+$AA$38-$Z$134-$AA$134)*(L134)</f>
        <v>10408.031206020501</v>
      </c>
      <c r="AF134" s="3" t="s">
        <v>551</v>
      </c>
    </row>
    <row r="135" spans="1:32" ht="11.25" customHeight="1" x14ac:dyDescent="0.25">
      <c r="A135" s="3" t="s">
        <v>28</v>
      </c>
      <c r="B135" s="3" t="s">
        <v>40</v>
      </c>
      <c r="C135" s="3" t="s">
        <v>23</v>
      </c>
      <c r="D135" s="3" t="s">
        <v>41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44652</v>
      </c>
      <c r="J135" s="4">
        <v>0</v>
      </c>
      <c r="K135" s="4">
        <v>0</v>
      </c>
      <c r="L135" s="4">
        <v>11.025</v>
      </c>
      <c r="M135" s="4">
        <v>11.025</v>
      </c>
      <c r="N135" s="4">
        <v>11.025</v>
      </c>
      <c r="O135" s="4">
        <v>11.025</v>
      </c>
      <c r="P135" s="4">
        <v>20</v>
      </c>
      <c r="Q135" s="3" t="s">
        <v>26</v>
      </c>
      <c r="R135" s="3">
        <v>0</v>
      </c>
      <c r="S135" s="3">
        <v>0</v>
      </c>
      <c r="T135" s="3">
        <v>34</v>
      </c>
      <c r="U135" s="3">
        <v>52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418.93</v>
      </c>
      <c r="X135" s="4">
        <f>IF(ISERROR(VLOOKUP($U$135,'TAR FIN'!$A$1:$O$88,15,0)),0,VLOOKUP($U$135,'TAR FIN'!$A$1:$O$88,15,0))</f>
        <v>145.38</v>
      </c>
      <c r="Y135" s="4"/>
      <c r="Z135" s="4">
        <f ca="1">('TUSD BE'!$AM$33+'TUSD BF'!$AM$33+'TUSD CVA'!$AM$33)*(1-CUSTOS!$M$38)</f>
        <v>497.93087316633921</v>
      </c>
      <c r="AA135" s="4">
        <f>('TE BE'!$AB$23+'TE BF'!$AB$23+'TE CVA'!$AB$23)*(1-CUSTOS!$M$38)</f>
        <v>144.71996911415522</v>
      </c>
      <c r="AB135" s="4">
        <f t="shared" si="10"/>
        <v>0</v>
      </c>
      <c r="AC135" s="4">
        <f>(L135-M135)*(W135+X135)+($W$38+$X$38-$W$135-$X$135)*(L135)</f>
        <v>848.48399999999981</v>
      </c>
      <c r="AD135" s="4">
        <f t="shared" si="11"/>
        <v>0</v>
      </c>
      <c r="AE135" s="4">
        <f ca="1">(L135-M135)*(Z135+AA135)+($Z$38+$AA$38-$Z$135-$AA$135)*(L135)</f>
        <v>452.24843847717847</v>
      </c>
      <c r="AF135" s="3" t="s">
        <v>551</v>
      </c>
    </row>
    <row r="136" spans="1:32" ht="11.25" customHeight="1" x14ac:dyDescent="0.25">
      <c r="A136" s="3" t="s">
        <v>21</v>
      </c>
      <c r="B136" s="3" t="s">
        <v>40</v>
      </c>
      <c r="C136" s="3" t="s">
        <v>23</v>
      </c>
      <c r="D136" s="3" t="s">
        <v>41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44682</v>
      </c>
      <c r="J136" s="4">
        <v>0</v>
      </c>
      <c r="K136" s="4">
        <v>0</v>
      </c>
      <c r="L136" s="4">
        <v>227.773</v>
      </c>
      <c r="M136" s="4">
        <v>227.773</v>
      </c>
      <c r="N136" s="4">
        <v>227.773</v>
      </c>
      <c r="O136" s="4">
        <v>227.773</v>
      </c>
      <c r="P136" s="4">
        <v>1141</v>
      </c>
      <c r="Q136" s="3" t="s">
        <v>26</v>
      </c>
      <c r="R136" s="3">
        <v>0</v>
      </c>
      <c r="S136" s="3">
        <v>0</v>
      </c>
      <c r="T136" s="3">
        <v>34</v>
      </c>
      <c r="U136" s="3">
        <v>52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418.93</v>
      </c>
      <c r="X136" s="4">
        <f>IF(ISERROR(VLOOKUP($U$136,'TAR FIN'!$A$1:$O$88,15,0)),0,VLOOKUP($U$136,'TAR FIN'!$A$1:$O$88,15,0))</f>
        <v>145.38</v>
      </c>
      <c r="Y136" s="4"/>
      <c r="Z136" s="4">
        <f ca="1">('TUSD BE'!$AM$33+'TUSD BF'!$AM$33+'TUSD CVA'!$AM$33)*(1-CUSTOS!$M$38)</f>
        <v>497.93087316633921</v>
      </c>
      <c r="AA136" s="4">
        <f>('TE BE'!$AB$23+'TE BF'!$AB$23+'TE CVA'!$AB$23)*(1-CUSTOS!$M$38)</f>
        <v>144.71996911415522</v>
      </c>
      <c r="AB136" s="4">
        <f t="shared" si="10"/>
        <v>0</v>
      </c>
      <c r="AC136" s="4">
        <f>(L136-M136)*(W136+X136)+($W$38+$X$38-$W$136-$X$136)*(L136)</f>
        <v>17529.410079999994</v>
      </c>
      <c r="AD136" s="4">
        <f t="shared" si="11"/>
        <v>0</v>
      </c>
      <c r="AE136" s="4">
        <f ca="1">(L136-M136)*(Z136+AA136)+($Z$38+$AA$38-$Z$136-$AA$136)*(L136)</f>
        <v>9343.3091680056568</v>
      </c>
      <c r="AF136" s="3" t="s">
        <v>551</v>
      </c>
    </row>
    <row r="137" spans="1:32" ht="11.25" customHeight="1" x14ac:dyDescent="0.25">
      <c r="A137" s="3" t="s">
        <v>27</v>
      </c>
      <c r="B137" s="3" t="s">
        <v>40</v>
      </c>
      <c r="C137" s="3" t="s">
        <v>23</v>
      </c>
      <c r="D137" s="3" t="s">
        <v>41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44682</v>
      </c>
      <c r="J137" s="4">
        <v>0</v>
      </c>
      <c r="K137" s="4">
        <v>0</v>
      </c>
      <c r="L137" s="4">
        <v>-2.93</v>
      </c>
      <c r="M137" s="4">
        <v>-2.93</v>
      </c>
      <c r="N137" s="4">
        <v>-2.93</v>
      </c>
      <c r="O137" s="4">
        <v>-2.93</v>
      </c>
      <c r="P137" s="4">
        <v>0</v>
      </c>
      <c r="Q137" s="3" t="s">
        <v>26</v>
      </c>
      <c r="R137" s="3">
        <v>0</v>
      </c>
      <c r="S137" s="3">
        <v>0</v>
      </c>
      <c r="T137" s="3">
        <v>34</v>
      </c>
      <c r="U137" s="3">
        <v>52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418.93</v>
      </c>
      <c r="X137" s="4">
        <f>IF(ISERROR(VLOOKUP($U$137,'TAR FIN'!$A$1:$O$88,15,0)),0,VLOOKUP($U$137,'TAR FIN'!$A$1:$O$88,15,0))</f>
        <v>145.38</v>
      </c>
      <c r="Y137" s="4"/>
      <c r="Z137" s="4">
        <f ca="1">('TUSD BE'!$AM$33+'TUSD BF'!$AM$33+'TUSD CVA'!$AM$33)*(1-CUSTOS!$M$38)</f>
        <v>497.93087316633921</v>
      </c>
      <c r="AA137" s="4">
        <f>('TE BE'!$AB$23+'TE BF'!$AB$23+'TE CVA'!$AB$23)*(1-CUSTOS!$M$38)</f>
        <v>144.71996911415522</v>
      </c>
      <c r="AB137" s="4">
        <f t="shared" si="10"/>
        <v>0</v>
      </c>
      <c r="AC137" s="4">
        <f>(L137-M137)*(W137+X137)+($W$38+$X$38-$W$137-$X$137)*(L137)</f>
        <v>-225.49279999999996</v>
      </c>
      <c r="AD137" s="4">
        <f t="shared" si="11"/>
        <v>0</v>
      </c>
      <c r="AE137" s="4">
        <f ca="1">(L137-M137)*(Z137+AA137)+($Z$38+$AA$38-$Z$137-$AA$137)*(L137)</f>
        <v>-120.18938092862885</v>
      </c>
      <c r="AF137" s="3" t="s">
        <v>551</v>
      </c>
    </row>
    <row r="138" spans="1:32" ht="11.25" customHeight="1" x14ac:dyDescent="0.25">
      <c r="A138" s="3" t="s">
        <v>28</v>
      </c>
      <c r="B138" s="3" t="s">
        <v>40</v>
      </c>
      <c r="C138" s="3" t="s">
        <v>23</v>
      </c>
      <c r="D138" s="3" t="s">
        <v>41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44682</v>
      </c>
      <c r="J138" s="4">
        <v>0</v>
      </c>
      <c r="K138" s="4">
        <v>0</v>
      </c>
      <c r="L138" s="4">
        <v>12.616</v>
      </c>
      <c r="M138" s="4">
        <v>12.616</v>
      </c>
      <c r="N138" s="4">
        <v>12.616</v>
      </c>
      <c r="O138" s="4">
        <v>12.616</v>
      </c>
      <c r="P138" s="4">
        <v>20</v>
      </c>
      <c r="Q138" s="3" t="s">
        <v>26</v>
      </c>
      <c r="R138" s="3">
        <v>0</v>
      </c>
      <c r="S138" s="3">
        <v>0</v>
      </c>
      <c r="T138" s="3">
        <v>34</v>
      </c>
      <c r="U138" s="3">
        <v>52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418.93</v>
      </c>
      <c r="X138" s="4">
        <f>IF(ISERROR(VLOOKUP($U$138,'TAR FIN'!$A$1:$O$88,15,0)),0,VLOOKUP($U$138,'TAR FIN'!$A$1:$O$88,15,0))</f>
        <v>145.38</v>
      </c>
      <c r="Y138" s="4"/>
      <c r="Z138" s="4">
        <f ca="1">('TUSD BE'!$AM$33+'TUSD BF'!$AM$33+'TUSD CVA'!$AM$33)*(1-CUSTOS!$M$38)</f>
        <v>497.93087316633921</v>
      </c>
      <c r="AA138" s="4">
        <f>('TE BE'!$AB$23+'TE BF'!$AB$23+'TE CVA'!$AB$23)*(1-CUSTOS!$M$38)</f>
        <v>144.71996911415522</v>
      </c>
      <c r="AB138" s="4">
        <f t="shared" si="10"/>
        <v>0</v>
      </c>
      <c r="AC138" s="4">
        <f>(L138-M138)*(W138+X138)+($W$38+$X$38-$W$138-$X$138)*(L138)</f>
        <v>970.92735999999968</v>
      </c>
      <c r="AD138" s="4">
        <f t="shared" si="11"/>
        <v>0</v>
      </c>
      <c r="AE138" s="4">
        <f ca="1">(L138-M138)*(Z138+AA138)+($Z$38+$AA$38-$Z$138-$AA$138)*(L138)</f>
        <v>517.51168252408922</v>
      </c>
      <c r="AF138" s="3" t="s">
        <v>551</v>
      </c>
    </row>
    <row r="139" spans="1:32" ht="11.25" customHeight="1" x14ac:dyDescent="0.25">
      <c r="A139" s="3" t="s">
        <v>21</v>
      </c>
      <c r="B139" s="3" t="s">
        <v>40</v>
      </c>
      <c r="C139" s="3" t="s">
        <v>23</v>
      </c>
      <c r="D139" s="3" t="s">
        <v>41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44713</v>
      </c>
      <c r="J139" s="4">
        <v>0</v>
      </c>
      <c r="K139" s="4">
        <v>0</v>
      </c>
      <c r="L139" s="4">
        <v>249.512</v>
      </c>
      <c r="M139" s="4">
        <v>249.512</v>
      </c>
      <c r="N139" s="4">
        <v>249.512</v>
      </c>
      <c r="O139" s="4">
        <v>249.512</v>
      </c>
      <c r="P139" s="4">
        <v>1141</v>
      </c>
      <c r="Q139" s="3" t="s">
        <v>26</v>
      </c>
      <c r="R139" s="3">
        <v>0</v>
      </c>
      <c r="S139" s="3">
        <v>0</v>
      </c>
      <c r="T139" s="3">
        <v>34</v>
      </c>
      <c r="U139" s="3">
        <v>52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418.93</v>
      </c>
      <c r="X139" s="4">
        <f>IF(ISERROR(VLOOKUP($U$139,'TAR FIN'!$A$1:$O$88,15,0)),0,VLOOKUP($U$139,'TAR FIN'!$A$1:$O$88,15,0))</f>
        <v>145.38</v>
      </c>
      <c r="Y139" s="4"/>
      <c r="Z139" s="4">
        <f ca="1">('TUSD BE'!$AM$33+'TUSD BF'!$AM$33+'TUSD CVA'!$AM$33)*(1-CUSTOS!$M$38)</f>
        <v>497.93087316633921</v>
      </c>
      <c r="AA139" s="4">
        <f>('TE BE'!$AB$23+'TE BF'!$AB$23+'TE CVA'!$AB$23)*(1-CUSTOS!$M$38)</f>
        <v>144.71996911415522</v>
      </c>
      <c r="AB139" s="4">
        <f t="shared" si="10"/>
        <v>0</v>
      </c>
      <c r="AC139" s="4">
        <f>(L139-M139)*(W139+X139)+($W$38+$X$38-$W$139-$X$139)*(L139)</f>
        <v>19202.443519999993</v>
      </c>
      <c r="AD139" s="4">
        <f t="shared" si="11"/>
        <v>0</v>
      </c>
      <c r="AE139" s="4">
        <f ca="1">(L139-M139)*(Z139+AA139)+($Z$38+$AA$38-$Z$139-$AA$139)*(L139)</f>
        <v>10235.048742069637</v>
      </c>
      <c r="AF139" s="3" t="s">
        <v>551</v>
      </c>
    </row>
    <row r="140" spans="1:32" ht="11.25" customHeight="1" x14ac:dyDescent="0.25">
      <c r="A140" s="3" t="s">
        <v>28</v>
      </c>
      <c r="B140" s="3" t="s">
        <v>40</v>
      </c>
      <c r="C140" s="3" t="s">
        <v>23</v>
      </c>
      <c r="D140" s="3" t="s">
        <v>41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44713</v>
      </c>
      <c r="J140" s="4">
        <v>0</v>
      </c>
      <c r="K140" s="4">
        <v>0</v>
      </c>
      <c r="L140" s="4">
        <v>25.966000000000001</v>
      </c>
      <c r="M140" s="4">
        <v>25.966000000000001</v>
      </c>
      <c r="N140" s="4">
        <v>25.966000000000001</v>
      </c>
      <c r="O140" s="4">
        <v>25.966000000000001</v>
      </c>
      <c r="P140" s="4">
        <v>22</v>
      </c>
      <c r="Q140" s="3" t="s">
        <v>26</v>
      </c>
      <c r="R140" s="3">
        <v>0</v>
      </c>
      <c r="S140" s="3">
        <v>0</v>
      </c>
      <c r="T140" s="3">
        <v>34</v>
      </c>
      <c r="U140" s="3">
        <v>52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418.93</v>
      </c>
      <c r="X140" s="4">
        <f>IF(ISERROR(VLOOKUP($U$140,'TAR FIN'!$A$1:$O$88,15,0)),0,VLOOKUP($U$140,'TAR FIN'!$A$1:$O$88,15,0))</f>
        <v>145.38</v>
      </c>
      <c r="Y140" s="4"/>
      <c r="Z140" s="4">
        <f ca="1">('TUSD BE'!$AM$33+'TUSD BF'!$AM$33+'TUSD CVA'!$AM$33)*(1-CUSTOS!$M$38)</f>
        <v>497.93087316633921</v>
      </c>
      <c r="AA140" s="4">
        <f>('TE BE'!$AB$23+'TE BF'!$AB$23+'TE CVA'!$AB$23)*(1-CUSTOS!$M$38)</f>
        <v>144.71996911415522</v>
      </c>
      <c r="AB140" s="4">
        <f t="shared" si="10"/>
        <v>0</v>
      </c>
      <c r="AC140" s="4">
        <f>(L140-M140)*(W140+X140)+($W$38+$X$38-$W$140-$X$140)*(L140)</f>
        <v>1998.3433599999996</v>
      </c>
      <c r="AD140" s="4">
        <f t="shared" si="11"/>
        <v>0</v>
      </c>
      <c r="AE140" s="4">
        <f ca="1">(L140-M140)*(Z140+AA140)+($Z$38+$AA$38-$Z$140-$AA$140)*(L140)</f>
        <v>1065.1322406801285</v>
      </c>
      <c r="AF140" s="3" t="s">
        <v>551</v>
      </c>
    </row>
    <row r="141" spans="1:32" ht="11.25" customHeight="1" x14ac:dyDescent="0.25">
      <c r="A141" s="3" t="s">
        <v>21</v>
      </c>
      <c r="B141" s="3" t="s">
        <v>40</v>
      </c>
      <c r="C141" s="3" t="s">
        <v>23</v>
      </c>
      <c r="D141" s="3" t="s">
        <v>41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44743</v>
      </c>
      <c r="J141" s="4">
        <v>0</v>
      </c>
      <c r="K141" s="4">
        <v>0</v>
      </c>
      <c r="L141" s="4">
        <v>213.47</v>
      </c>
      <c r="M141" s="4">
        <v>213.47</v>
      </c>
      <c r="N141" s="4">
        <v>213.47</v>
      </c>
      <c r="O141" s="4">
        <v>213.47</v>
      </c>
      <c r="P141" s="4">
        <v>1135</v>
      </c>
      <c r="Q141" s="3" t="s">
        <v>26</v>
      </c>
      <c r="R141" s="3">
        <v>0</v>
      </c>
      <c r="S141" s="3">
        <v>0</v>
      </c>
      <c r="T141" s="3">
        <v>34</v>
      </c>
      <c r="U141" s="3">
        <v>52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418.93</v>
      </c>
      <c r="X141" s="4">
        <f>IF(ISERROR(VLOOKUP($U$141,'TAR FIN'!$A$1:$O$88,15,0)),0,VLOOKUP($U$141,'TAR FIN'!$A$1:$O$88,15,0))</f>
        <v>145.38</v>
      </c>
      <c r="Y141" s="4"/>
      <c r="Z141" s="4">
        <f ca="1">('TUSD BE'!$AM$33+'TUSD BF'!$AM$33+'TUSD CVA'!$AM$33)*(1-CUSTOS!$M$38)</f>
        <v>497.93087316633921</v>
      </c>
      <c r="AA141" s="4">
        <f>('TE BE'!$AB$23+'TE BF'!$AB$23+'TE CVA'!$AB$23)*(1-CUSTOS!$M$38)</f>
        <v>144.71996911415522</v>
      </c>
      <c r="AB141" s="4">
        <f t="shared" si="10"/>
        <v>0</v>
      </c>
      <c r="AC141" s="4">
        <f>(L141-M141)*(W141+X141)+($W$38+$X$38-$W$141-$X$141)*(L141)</f>
        <v>16428.651199999997</v>
      </c>
      <c r="AD141" s="4">
        <f t="shared" si="11"/>
        <v>0</v>
      </c>
      <c r="AE141" s="4">
        <f ca="1">(L141-M141)*(Z141+AA141)+($Z$38+$AA$38-$Z$141-$AA$141)*(L141)</f>
        <v>8756.5962958479176</v>
      </c>
      <c r="AF141" s="3" t="s">
        <v>551</v>
      </c>
    </row>
    <row r="142" spans="1:32" ht="11.25" customHeight="1" x14ac:dyDescent="0.25">
      <c r="A142" s="3" t="s">
        <v>28</v>
      </c>
      <c r="B142" s="3" t="s">
        <v>40</v>
      </c>
      <c r="C142" s="3" t="s">
        <v>23</v>
      </c>
      <c r="D142" s="3" t="s">
        <v>41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44743</v>
      </c>
      <c r="J142" s="4">
        <v>0</v>
      </c>
      <c r="K142" s="4">
        <v>0</v>
      </c>
      <c r="L142" s="4">
        <v>16.984000000000002</v>
      </c>
      <c r="M142" s="4">
        <v>16.984000000000002</v>
      </c>
      <c r="N142" s="4">
        <v>16.984000000000002</v>
      </c>
      <c r="O142" s="4">
        <v>16.984000000000002</v>
      </c>
      <c r="P142" s="4">
        <v>20</v>
      </c>
      <c r="Q142" s="3" t="s">
        <v>26</v>
      </c>
      <c r="R142" s="3">
        <v>0</v>
      </c>
      <c r="S142" s="3">
        <v>0</v>
      </c>
      <c r="T142" s="3">
        <v>34</v>
      </c>
      <c r="U142" s="3">
        <v>52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418.93</v>
      </c>
      <c r="X142" s="4">
        <f>IF(ISERROR(VLOOKUP($U$142,'TAR FIN'!$A$1:$O$88,15,0)),0,VLOOKUP($U$142,'TAR FIN'!$A$1:$O$88,15,0))</f>
        <v>145.38</v>
      </c>
      <c r="Y142" s="4"/>
      <c r="Z142" s="4">
        <f ca="1">('TUSD BE'!$AM$33+'TUSD BF'!$AM$33+'TUSD CVA'!$AM$33)*(1-CUSTOS!$M$38)</f>
        <v>497.93087316633921</v>
      </c>
      <c r="AA142" s="4">
        <f>('TE BE'!$AB$23+'TE BF'!$AB$23+'TE CVA'!$AB$23)*(1-CUSTOS!$M$38)</f>
        <v>144.71996911415522</v>
      </c>
      <c r="AB142" s="4">
        <f t="shared" si="10"/>
        <v>0</v>
      </c>
      <c r="AC142" s="4">
        <f>(L142-M142)*(W142+X142)+($W$38+$X$38-$W$142-$X$142)*(L142)</f>
        <v>1307.0886399999997</v>
      </c>
      <c r="AD142" s="4">
        <f t="shared" si="11"/>
        <v>0</v>
      </c>
      <c r="AE142" s="4">
        <f ca="1">(L142-M142)*(Z142+AA142)+($Z$38+$AA$38-$Z$142-$AA$142)*(L142)</f>
        <v>696.68820672076185</v>
      </c>
      <c r="AF142" s="3" t="s">
        <v>551</v>
      </c>
    </row>
    <row r="143" spans="1:32" ht="11.25" customHeight="1" x14ac:dyDescent="0.25">
      <c r="A143" s="3" t="s">
        <v>21</v>
      </c>
      <c r="B143" s="3" t="s">
        <v>40</v>
      </c>
      <c r="C143" s="3" t="s">
        <v>23</v>
      </c>
      <c r="D143" s="3" t="s">
        <v>41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44774</v>
      </c>
      <c r="J143" s="4">
        <v>0</v>
      </c>
      <c r="K143" s="4">
        <v>0</v>
      </c>
      <c r="L143" s="4">
        <v>236.98099999999999</v>
      </c>
      <c r="M143" s="4">
        <v>236.98099999999999</v>
      </c>
      <c r="N143" s="4">
        <v>236.98099999999999</v>
      </c>
      <c r="O143" s="4">
        <v>236.98099999999999</v>
      </c>
      <c r="P143" s="4">
        <v>1125</v>
      </c>
      <c r="Q143" s="3" t="s">
        <v>26</v>
      </c>
      <c r="R143" s="3">
        <v>0</v>
      </c>
      <c r="S143" s="3">
        <v>0</v>
      </c>
      <c r="T143" s="3">
        <v>34</v>
      </c>
      <c r="U143" s="3">
        <v>52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418.93</v>
      </c>
      <c r="X143" s="4">
        <f>IF(ISERROR(VLOOKUP($U$143,'TAR FIN'!$A$1:$O$88,15,0)),0,VLOOKUP($U$143,'TAR FIN'!$A$1:$O$88,15,0))</f>
        <v>145.38</v>
      </c>
      <c r="Y143" s="4"/>
      <c r="Z143" s="4">
        <f ca="1">('TUSD BE'!$AM$33+'TUSD BF'!$AM$33+'TUSD CVA'!$AM$33)*(1-CUSTOS!$M$38)</f>
        <v>497.93087316633921</v>
      </c>
      <c r="AA143" s="4">
        <f>('TE BE'!$AB$23+'TE BF'!$AB$23+'TE CVA'!$AB$23)*(1-CUSTOS!$M$38)</f>
        <v>144.71996911415522</v>
      </c>
      <c r="AB143" s="4">
        <f t="shared" si="10"/>
        <v>0</v>
      </c>
      <c r="AC143" s="4">
        <f>(L143-M143)*(W143+X143)+($W$38+$X$38-$W$143-$X$143)*(L143)</f>
        <v>18238.057759999996</v>
      </c>
      <c r="AD143" s="4">
        <f t="shared" si="11"/>
        <v>0</v>
      </c>
      <c r="AE143" s="4">
        <f ca="1">(L143-M143)*(Z143+AA143)+($Z$38+$AA$38-$Z$143-$AA$143)*(L143)</f>
        <v>9721.0237822004747</v>
      </c>
      <c r="AF143" s="3" t="s">
        <v>551</v>
      </c>
    </row>
    <row r="144" spans="1:32" ht="11.25" customHeight="1" x14ac:dyDescent="0.25">
      <c r="A144" s="3" t="s">
        <v>28</v>
      </c>
      <c r="B144" s="3" t="s">
        <v>40</v>
      </c>
      <c r="C144" s="3" t="s">
        <v>23</v>
      </c>
      <c r="D144" s="3" t="s">
        <v>41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44774</v>
      </c>
      <c r="J144" s="4">
        <v>0</v>
      </c>
      <c r="K144" s="4">
        <v>0</v>
      </c>
      <c r="L144" s="4">
        <v>15.641999999999999</v>
      </c>
      <c r="M144" s="4">
        <v>15.641999999999999</v>
      </c>
      <c r="N144" s="4">
        <v>15.641999999999999</v>
      </c>
      <c r="O144" s="4">
        <v>15.641999999999999</v>
      </c>
      <c r="P144" s="4">
        <v>21</v>
      </c>
      <c r="Q144" s="3" t="s">
        <v>26</v>
      </c>
      <c r="R144" s="3">
        <v>0</v>
      </c>
      <c r="S144" s="3">
        <v>0</v>
      </c>
      <c r="T144" s="3">
        <v>34</v>
      </c>
      <c r="U144" s="3">
        <v>52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418.93</v>
      </c>
      <c r="X144" s="4">
        <f>IF(ISERROR(VLOOKUP($U$144,'TAR FIN'!$A$1:$O$88,15,0)),0,VLOOKUP($U$144,'TAR FIN'!$A$1:$O$88,15,0))</f>
        <v>145.38</v>
      </c>
      <c r="Y144" s="4"/>
      <c r="Z144" s="4">
        <f ca="1">('TUSD BE'!$AM$33+'TUSD BF'!$AM$33+'TUSD CVA'!$AM$33)*(1-CUSTOS!$M$38)</f>
        <v>497.93087316633921</v>
      </c>
      <c r="AA144" s="4">
        <f>('TE BE'!$AB$23+'TE BF'!$AB$23+'TE CVA'!$AB$23)*(1-CUSTOS!$M$38)</f>
        <v>144.71996911415522</v>
      </c>
      <c r="AB144" s="4">
        <f t="shared" si="10"/>
        <v>0</v>
      </c>
      <c r="AC144" s="4">
        <f>(L144-M144)*(W144+X144)+($W$38+$X$38-$W$144-$X$144)*(L144)</f>
        <v>1203.8083199999996</v>
      </c>
      <c r="AD144" s="4">
        <f t="shared" si="11"/>
        <v>0</v>
      </c>
      <c r="AE144" s="4">
        <f ca="1">(L144-M144)*(Z144+AA144)+($Z$38+$AA$38-$Z$144-$AA$144)*(L144)</f>
        <v>641.63900903945807</v>
      </c>
      <c r="AF144" s="3" t="s">
        <v>551</v>
      </c>
    </row>
    <row r="145" spans="1:32" ht="11.25" customHeight="1" x14ac:dyDescent="0.25">
      <c r="A145" s="3" t="s">
        <v>21</v>
      </c>
      <c r="B145" s="3" t="s">
        <v>33</v>
      </c>
      <c r="C145" s="3" t="s">
        <v>23</v>
      </c>
      <c r="D145" s="3" t="s">
        <v>47</v>
      </c>
      <c r="E145" s="3" t="s">
        <v>48</v>
      </c>
      <c r="F145" s="3" t="s">
        <v>25</v>
      </c>
      <c r="G145" s="3" t="s">
        <v>25</v>
      </c>
      <c r="H145" s="3" t="s">
        <v>25</v>
      </c>
      <c r="I145" s="6">
        <v>44440</v>
      </c>
      <c r="J145" s="4">
        <v>0</v>
      </c>
      <c r="K145" s="52">
        <v>0</v>
      </c>
      <c r="L145" s="4">
        <v>7.6340000000000003</v>
      </c>
      <c r="M145" s="52">
        <v>7.6340000000000003</v>
      </c>
      <c r="N145" s="4">
        <v>7.6340000000000003</v>
      </c>
      <c r="O145" s="52">
        <v>7.6340000000000003</v>
      </c>
      <c r="P145" s="4">
        <v>13</v>
      </c>
      <c r="Q145" s="3" t="s">
        <v>26</v>
      </c>
      <c r="R145" s="3">
        <v>0</v>
      </c>
      <c r="S145" s="3">
        <v>0</v>
      </c>
      <c r="T145" s="3">
        <v>50</v>
      </c>
      <c r="U145" s="3">
        <v>83</v>
      </c>
      <c r="V145" s="52">
        <f>IF(ISERROR(VLOOKUP($S$145,'TAR FIN'!$A$1:$O$88,15,0)),0,VLOOKUP($S$145,'TAR FIN'!$A$1:$O$88,15,0))</f>
        <v>0</v>
      </c>
      <c r="W145" s="52">
        <f>IF(ISERROR(VLOOKUP($T$145,'TAR FIN'!$A$1:$O$88,15,0)),0,VLOOKUP($T$145,'TAR FIN'!$A$1:$O$88,15,0))*(1-0.06)</f>
        <v>447.49639999999999</v>
      </c>
      <c r="X145" s="52">
        <f>IF(ISERROR(VLOOKUP($U$145,'TAR FIN'!$A$1:$O$88,15,0)),0,VLOOKUP($U$145,'TAR FIN'!$A$1:$O$88,15,0))*(1-0.06)</f>
        <v>155.29740000000001</v>
      </c>
      <c r="Y145" s="52"/>
      <c r="Z145" s="52">
        <f ca="1">('TUSD BE'!$AM$48+'TUSD BF'!$AM$48+'TUSD CVA'!$AM$48)*1*(1-0.03)</f>
        <v>513.8222840120734</v>
      </c>
      <c r="AA145" s="52">
        <f>('TE BE'!$AB$38+'TE BF'!$AB$38+'TE CVA'!$AB$38)*1*(1-0.03)</f>
        <v>149.33869153269211</v>
      </c>
      <c r="AB145" s="52">
        <f>(SUBSIDIO!$J$145*SUBSIDIO!$V$145)*(0.06)/(1-0.06)</f>
        <v>0</v>
      </c>
      <c r="AC145" s="52">
        <f>((SUBSIDIO!$L$145*SUBSIDIO!$W$145)+(SUBSIDIO!$N$145*SUBSIDIO!$X$145))*(0.06)/(1-0.06)</f>
        <v>293.7273108</v>
      </c>
      <c r="AD145" s="52">
        <f>(SUBSIDIO!$J$145*SUBSIDIO!$Y$145)*(0.03)/(1-0.03)</f>
        <v>0</v>
      </c>
      <c r="AE145" s="52">
        <f ca="1">((SUBSIDIO!$L$145*SUBSIDIO!$Z$145)+(SUBSIDIO!$N$145*SUBSIDIO!$AA$145))*(0.03)/(1-0.03)</f>
        <v>156.57435733944558</v>
      </c>
      <c r="AF145" s="3" t="s">
        <v>549</v>
      </c>
    </row>
    <row r="146" spans="1:32" ht="11.25" customHeight="1" x14ac:dyDescent="0.25">
      <c r="A146" s="3" t="s">
        <v>21</v>
      </c>
      <c r="B146" s="3" t="s">
        <v>33</v>
      </c>
      <c r="C146" s="3" t="s">
        <v>23</v>
      </c>
      <c r="D146" s="3" t="s">
        <v>47</v>
      </c>
      <c r="E146" s="3" t="s">
        <v>48</v>
      </c>
      <c r="F146" s="3" t="s">
        <v>25</v>
      </c>
      <c r="G146" s="3" t="s">
        <v>25</v>
      </c>
      <c r="H146" s="3" t="s">
        <v>25</v>
      </c>
      <c r="I146" s="6">
        <v>44470</v>
      </c>
      <c r="J146" s="4">
        <v>0</v>
      </c>
      <c r="K146" s="52">
        <v>0</v>
      </c>
      <c r="L146" s="4">
        <v>7.2930000000000001</v>
      </c>
      <c r="M146" s="52">
        <v>7.2930000000000001</v>
      </c>
      <c r="N146" s="4">
        <v>7.2930000000000001</v>
      </c>
      <c r="O146" s="52">
        <v>7.2930000000000001</v>
      </c>
      <c r="P146" s="4">
        <v>12</v>
      </c>
      <c r="Q146" s="3" t="s">
        <v>26</v>
      </c>
      <c r="R146" s="3">
        <v>0</v>
      </c>
      <c r="S146" s="3">
        <v>0</v>
      </c>
      <c r="T146" s="3">
        <v>50</v>
      </c>
      <c r="U146" s="3">
        <v>83</v>
      </c>
      <c r="V146" s="52">
        <f>IF(ISERROR(VLOOKUP($S$146,'TAR FIN'!$A$1:$O$88,15,0)),0,VLOOKUP($S$146,'TAR FIN'!$A$1:$O$88,15,0))</f>
        <v>0</v>
      </c>
      <c r="W146" s="52">
        <f>IF(ISERROR(VLOOKUP($T$146,'TAR FIN'!$A$1:$O$88,15,0)),0,VLOOKUP($T$146,'TAR FIN'!$A$1:$O$88,15,0))*(1-0.06)</f>
        <v>447.49639999999999</v>
      </c>
      <c r="X146" s="52">
        <f>IF(ISERROR(VLOOKUP($U$146,'TAR FIN'!$A$1:$O$88,15,0)),0,VLOOKUP($U$146,'TAR FIN'!$A$1:$O$88,15,0))*(1-0.06)</f>
        <v>155.29740000000001</v>
      </c>
      <c r="Y146" s="52"/>
      <c r="Z146" s="52">
        <f ca="1">('TUSD BE'!$AM$48+'TUSD BF'!$AM$48+'TUSD CVA'!$AM$48)*1*(1-0.03)</f>
        <v>513.8222840120734</v>
      </c>
      <c r="AA146" s="52">
        <f>('TE BE'!$AB$38+'TE BF'!$AB$38+'TE CVA'!$AB$38)*1*(1-0.03)</f>
        <v>149.33869153269211</v>
      </c>
      <c r="AB146" s="52">
        <f>(SUBSIDIO!$J$146*SUBSIDIO!$V$146)*(0.06)/(1-0.06)</f>
        <v>0</v>
      </c>
      <c r="AC146" s="52">
        <f>((SUBSIDIO!$L$146*SUBSIDIO!$W$146)+(SUBSIDIO!$N$146*SUBSIDIO!$X$146))*(0.06)/(1-0.06)</f>
        <v>280.60692660000001</v>
      </c>
      <c r="AD146" s="52">
        <f>(SUBSIDIO!$J$146*SUBSIDIO!$Y$146)*(0.03)/(1-0.03)</f>
        <v>0</v>
      </c>
      <c r="AE146" s="52">
        <f ca="1">((SUBSIDIO!$L$146*SUBSIDIO!$Z$146)+(SUBSIDIO!$N$146*SUBSIDIO!$AA$146))*(0.03)/(1-0.03)</f>
        <v>149.58040189632914</v>
      </c>
      <c r="AF146" s="3" t="s">
        <v>549</v>
      </c>
    </row>
    <row r="147" spans="1:32" ht="11.25" customHeight="1" x14ac:dyDescent="0.25">
      <c r="A147" s="3" t="s">
        <v>21</v>
      </c>
      <c r="B147" s="3" t="s">
        <v>33</v>
      </c>
      <c r="C147" s="3" t="s">
        <v>23</v>
      </c>
      <c r="D147" s="3" t="s">
        <v>47</v>
      </c>
      <c r="E147" s="3" t="s">
        <v>48</v>
      </c>
      <c r="F147" s="3" t="s">
        <v>25</v>
      </c>
      <c r="G147" s="3" t="s">
        <v>25</v>
      </c>
      <c r="H147" s="3" t="s">
        <v>25</v>
      </c>
      <c r="I147" s="6">
        <v>44501</v>
      </c>
      <c r="J147" s="4">
        <v>0</v>
      </c>
      <c r="K147" s="52">
        <v>0</v>
      </c>
      <c r="L147" s="4">
        <v>6.923</v>
      </c>
      <c r="M147" s="52">
        <v>6.923</v>
      </c>
      <c r="N147" s="4">
        <v>6.923</v>
      </c>
      <c r="O147" s="52">
        <v>6.923</v>
      </c>
      <c r="P147" s="4">
        <v>12</v>
      </c>
      <c r="Q147" s="3" t="s">
        <v>26</v>
      </c>
      <c r="R147" s="3">
        <v>0</v>
      </c>
      <c r="S147" s="3">
        <v>0</v>
      </c>
      <c r="T147" s="3">
        <v>50</v>
      </c>
      <c r="U147" s="3">
        <v>83</v>
      </c>
      <c r="V147" s="52">
        <f>IF(ISERROR(VLOOKUP($S$147,'TAR FIN'!$A$1:$O$88,15,0)),0,VLOOKUP($S$147,'TAR FIN'!$A$1:$O$88,15,0))</f>
        <v>0</v>
      </c>
      <c r="W147" s="52">
        <f>IF(ISERROR(VLOOKUP($T$147,'TAR FIN'!$A$1:$O$88,15,0)),0,VLOOKUP($T$147,'TAR FIN'!$A$1:$O$88,15,0))*(1-0.06)</f>
        <v>447.49639999999999</v>
      </c>
      <c r="X147" s="52">
        <f>IF(ISERROR(VLOOKUP($U$147,'TAR FIN'!$A$1:$O$88,15,0)),0,VLOOKUP($U$147,'TAR FIN'!$A$1:$O$88,15,0))*(1-0.06)</f>
        <v>155.29740000000001</v>
      </c>
      <c r="Y147" s="52"/>
      <c r="Z147" s="52">
        <f ca="1">('TUSD BE'!$AM$48+'TUSD BF'!$AM$48+'TUSD CVA'!$AM$48)*1*(1-0.03)</f>
        <v>513.8222840120734</v>
      </c>
      <c r="AA147" s="52">
        <f>('TE BE'!$AB$38+'TE BF'!$AB$38+'TE CVA'!$AB$38)*1*(1-0.03)</f>
        <v>149.33869153269211</v>
      </c>
      <c r="AB147" s="52">
        <f>(SUBSIDIO!$J$147*SUBSIDIO!$V$147)*(0.06)/(1-0.06)</f>
        <v>0</v>
      </c>
      <c r="AC147" s="52">
        <f>((SUBSIDIO!$L$147*SUBSIDIO!$W$147)+(SUBSIDIO!$N$147*SUBSIDIO!$X$147))*(0.06)/(1-0.06)</f>
        <v>266.37073259999994</v>
      </c>
      <c r="AD147" s="52">
        <f>(SUBSIDIO!$J$147*SUBSIDIO!$Y$147)*(0.03)/(1-0.03)</f>
        <v>0</v>
      </c>
      <c r="AE147" s="52">
        <f ca="1">((SUBSIDIO!$L$147*SUBSIDIO!$Z$147)+(SUBSIDIO!$N$147*SUBSIDIO!$AA$147))*(0.03)/(1-0.03)</f>
        <v>141.99165258854882</v>
      </c>
      <c r="AF147" s="3" t="s">
        <v>549</v>
      </c>
    </row>
    <row r="148" spans="1:32" ht="11.25" customHeight="1" x14ac:dyDescent="0.25">
      <c r="A148" s="3" t="s">
        <v>21</v>
      </c>
      <c r="B148" s="3" t="s">
        <v>33</v>
      </c>
      <c r="C148" s="3" t="s">
        <v>23</v>
      </c>
      <c r="D148" s="3" t="s">
        <v>47</v>
      </c>
      <c r="E148" s="3" t="s">
        <v>48</v>
      </c>
      <c r="F148" s="3" t="s">
        <v>25</v>
      </c>
      <c r="G148" s="3" t="s">
        <v>25</v>
      </c>
      <c r="H148" s="3" t="s">
        <v>25</v>
      </c>
      <c r="I148" s="6">
        <v>44531</v>
      </c>
      <c r="J148" s="4">
        <v>0</v>
      </c>
      <c r="K148" s="52">
        <v>0</v>
      </c>
      <c r="L148" s="4">
        <v>7.5789999999999997</v>
      </c>
      <c r="M148" s="52">
        <v>7.5789999999999997</v>
      </c>
      <c r="N148" s="4">
        <v>7.5789999999999997</v>
      </c>
      <c r="O148" s="52">
        <v>7.5789999999999997</v>
      </c>
      <c r="P148" s="4">
        <v>12</v>
      </c>
      <c r="Q148" s="3" t="s">
        <v>26</v>
      </c>
      <c r="R148" s="3">
        <v>0</v>
      </c>
      <c r="S148" s="3">
        <v>0</v>
      </c>
      <c r="T148" s="3">
        <v>50</v>
      </c>
      <c r="U148" s="3">
        <v>83</v>
      </c>
      <c r="V148" s="52">
        <f>IF(ISERROR(VLOOKUP($S$148,'TAR FIN'!$A$1:$O$88,15,0)),0,VLOOKUP($S$148,'TAR FIN'!$A$1:$O$88,15,0))</f>
        <v>0</v>
      </c>
      <c r="W148" s="52">
        <f>IF(ISERROR(VLOOKUP($T$148,'TAR FIN'!$A$1:$O$88,15,0)),0,VLOOKUP($T$148,'TAR FIN'!$A$1:$O$88,15,0))*(1-0.06)</f>
        <v>447.49639999999999</v>
      </c>
      <c r="X148" s="52">
        <f>IF(ISERROR(VLOOKUP($U$148,'TAR FIN'!$A$1:$O$88,15,0)),0,VLOOKUP($U$148,'TAR FIN'!$A$1:$O$88,15,0))*(1-0.06)</f>
        <v>155.29740000000001</v>
      </c>
      <c r="Y148" s="52"/>
      <c r="Z148" s="52">
        <f ca="1">('TUSD BE'!$AM$48+'TUSD BF'!$AM$48+'TUSD CVA'!$AM$48)*1*(1-0.03)</f>
        <v>513.8222840120734</v>
      </c>
      <c r="AA148" s="52">
        <f>('TE BE'!$AB$38+'TE BF'!$AB$38+'TE CVA'!$AB$38)*1*(1-0.03)</f>
        <v>149.33869153269211</v>
      </c>
      <c r="AB148" s="52">
        <f>(SUBSIDIO!$J$148*SUBSIDIO!$V$148)*(0.06)/(1-0.06)</f>
        <v>0</v>
      </c>
      <c r="AC148" s="52">
        <f>((SUBSIDIO!$L$148*SUBSIDIO!$W$148)+(SUBSIDIO!$N$148*SUBSIDIO!$X$148))*(0.06)/(1-0.06)</f>
        <v>291.61111980000004</v>
      </c>
      <c r="AD148" s="52">
        <f>(SUBSIDIO!$J$148*SUBSIDIO!$Y$148)*(0.03)/(1-0.03)</f>
        <v>0</v>
      </c>
      <c r="AE148" s="52">
        <f ca="1">((SUBSIDIO!$L$148*SUBSIDIO!$Z$148)+(SUBSIDIO!$N$148*SUBSIDIO!$AA$148))*(0.03)/(1-0.03)</f>
        <v>155.44630000991063</v>
      </c>
      <c r="AF148" s="3" t="s">
        <v>549</v>
      </c>
    </row>
    <row r="149" spans="1:32" ht="11.25" customHeight="1" x14ac:dyDescent="0.25">
      <c r="A149" s="3" t="s">
        <v>21</v>
      </c>
      <c r="B149" s="3" t="s">
        <v>33</v>
      </c>
      <c r="C149" s="3" t="s">
        <v>23</v>
      </c>
      <c r="D149" s="3" t="s">
        <v>47</v>
      </c>
      <c r="E149" s="3" t="s">
        <v>48</v>
      </c>
      <c r="F149" s="3" t="s">
        <v>25</v>
      </c>
      <c r="G149" s="3" t="s">
        <v>25</v>
      </c>
      <c r="H149" s="3" t="s">
        <v>25</v>
      </c>
      <c r="I149" s="6">
        <v>44562</v>
      </c>
      <c r="J149" s="4">
        <v>0</v>
      </c>
      <c r="K149" s="52">
        <v>0</v>
      </c>
      <c r="L149" s="4">
        <v>12.791</v>
      </c>
      <c r="M149" s="52">
        <v>12.791</v>
      </c>
      <c r="N149" s="4">
        <v>12.791</v>
      </c>
      <c r="O149" s="52">
        <v>12.791</v>
      </c>
      <c r="P149" s="4">
        <v>12</v>
      </c>
      <c r="Q149" s="3" t="s">
        <v>26</v>
      </c>
      <c r="R149" s="3">
        <v>0</v>
      </c>
      <c r="S149" s="3">
        <v>0</v>
      </c>
      <c r="T149" s="3">
        <v>50</v>
      </c>
      <c r="U149" s="3">
        <v>83</v>
      </c>
      <c r="V149" s="52">
        <f>IF(ISERROR(VLOOKUP($S$149,'TAR FIN'!$A$1:$O$88,15,0)),0,VLOOKUP($S$149,'TAR FIN'!$A$1:$O$88,15,0))</f>
        <v>0</v>
      </c>
      <c r="W149" s="52">
        <f>IF(ISERROR(VLOOKUP($T$149,'TAR FIN'!$A$1:$O$88,15,0)),0,VLOOKUP($T$149,'TAR FIN'!$A$1:$O$88,15,0))*(1-0.06)</f>
        <v>447.49639999999999</v>
      </c>
      <c r="X149" s="52">
        <f>IF(ISERROR(VLOOKUP($U$149,'TAR FIN'!$A$1:$O$88,15,0)),0,VLOOKUP($U$149,'TAR FIN'!$A$1:$O$88,15,0))*(1-0.06)</f>
        <v>155.29740000000001</v>
      </c>
      <c r="Y149" s="52"/>
      <c r="Z149" s="52">
        <f ca="1">('TUSD BE'!$AM$48+'TUSD BF'!$AM$48+'TUSD CVA'!$AM$48)*1*(1-0.03)</f>
        <v>513.8222840120734</v>
      </c>
      <c r="AA149" s="52">
        <f>('TE BE'!$AB$38+'TE BF'!$AB$38+'TE CVA'!$AB$38)*1*(1-0.03)</f>
        <v>149.33869153269211</v>
      </c>
      <c r="AB149" s="52">
        <f>(SUBSIDIO!$J$149*SUBSIDIO!$V$149)*(0.06)/(1-0.06)</f>
        <v>0</v>
      </c>
      <c r="AC149" s="52">
        <f>((SUBSIDIO!$L$149*SUBSIDIO!$W$149)+(SUBSIDIO!$N$149*SUBSIDIO!$X$149))*(0.06)/(1-0.06)</f>
        <v>492.14907419999997</v>
      </c>
      <c r="AD149" s="52">
        <f>(SUBSIDIO!$J$149*SUBSIDIO!$Y$149)*(0.03)/(1-0.03)</f>
        <v>0</v>
      </c>
      <c r="AE149" s="52">
        <f ca="1">((SUBSIDIO!$L$149*SUBSIDIO!$Z$149)+(SUBSIDIO!$N$149*SUBSIDIO!$AA$149))*(0.03)/(1-0.03)</f>
        <v>262.34511458329166</v>
      </c>
      <c r="AF149" s="3" t="s">
        <v>549</v>
      </c>
    </row>
    <row r="150" spans="1:32" ht="11.25" customHeight="1" x14ac:dyDescent="0.25">
      <c r="A150" s="3" t="s">
        <v>21</v>
      </c>
      <c r="B150" s="3" t="s">
        <v>33</v>
      </c>
      <c r="C150" s="3" t="s">
        <v>23</v>
      </c>
      <c r="D150" s="3" t="s">
        <v>47</v>
      </c>
      <c r="E150" s="3" t="s">
        <v>48</v>
      </c>
      <c r="F150" s="3" t="s">
        <v>25</v>
      </c>
      <c r="G150" s="3" t="s">
        <v>25</v>
      </c>
      <c r="H150" s="3" t="s">
        <v>25</v>
      </c>
      <c r="I150" s="6">
        <v>44593</v>
      </c>
      <c r="J150" s="4">
        <v>0</v>
      </c>
      <c r="K150" s="52">
        <v>0</v>
      </c>
      <c r="L150" s="4">
        <v>8.4130000000000003</v>
      </c>
      <c r="M150" s="52">
        <v>8.4130000000000003</v>
      </c>
      <c r="N150" s="4">
        <v>8.4130000000000003</v>
      </c>
      <c r="O150" s="52">
        <v>8.4130000000000003</v>
      </c>
      <c r="P150" s="4">
        <v>12</v>
      </c>
      <c r="Q150" s="3" t="s">
        <v>26</v>
      </c>
      <c r="R150" s="3">
        <v>0</v>
      </c>
      <c r="S150" s="3">
        <v>0</v>
      </c>
      <c r="T150" s="3">
        <v>50</v>
      </c>
      <c r="U150" s="3">
        <v>83</v>
      </c>
      <c r="V150" s="52">
        <f>IF(ISERROR(VLOOKUP($S$150,'TAR FIN'!$A$1:$O$88,15,0)),0,VLOOKUP($S$150,'TAR FIN'!$A$1:$O$88,15,0))</f>
        <v>0</v>
      </c>
      <c r="W150" s="52">
        <f>IF(ISERROR(VLOOKUP($T$150,'TAR FIN'!$A$1:$O$88,15,0)),0,VLOOKUP($T$150,'TAR FIN'!$A$1:$O$88,15,0))*(1-0.06)</f>
        <v>447.49639999999999</v>
      </c>
      <c r="X150" s="52">
        <f>IF(ISERROR(VLOOKUP($U$150,'TAR FIN'!$A$1:$O$88,15,0)),0,VLOOKUP($U$150,'TAR FIN'!$A$1:$O$88,15,0))*(1-0.06)</f>
        <v>155.29740000000001</v>
      </c>
      <c r="Y150" s="52"/>
      <c r="Z150" s="52">
        <f ca="1">('TUSD BE'!$AM$48+'TUSD BF'!$AM$48+'TUSD CVA'!$AM$48)*1*(1-0.03)</f>
        <v>513.8222840120734</v>
      </c>
      <c r="AA150" s="52">
        <f>('TE BE'!$AB$38+'TE BF'!$AB$38+'TE CVA'!$AB$38)*1*(1-0.03)</f>
        <v>149.33869153269211</v>
      </c>
      <c r="AB150" s="52">
        <f>(SUBSIDIO!$J$150*SUBSIDIO!$V$150)*(0.06)/(1-0.06)</f>
        <v>0</v>
      </c>
      <c r="AC150" s="52">
        <f>((SUBSIDIO!$L$150*SUBSIDIO!$W$150)+(SUBSIDIO!$N$150*SUBSIDIO!$X$150))*(0.06)/(1-0.06)</f>
        <v>323.70027060000007</v>
      </c>
      <c r="AD150" s="52">
        <f>(SUBSIDIO!$J$150*SUBSIDIO!$Y$150)*(0.03)/(1-0.03)</f>
        <v>0</v>
      </c>
      <c r="AE150" s="52">
        <f ca="1">((SUBSIDIO!$L$150*SUBSIDIO!$Z$150)+(SUBSIDIO!$N$150*SUBSIDIO!$AA$150))*(0.03)/(1-0.03)</f>
        <v>172.55175115231276</v>
      </c>
      <c r="AF150" s="3" t="s">
        <v>549</v>
      </c>
    </row>
    <row r="151" spans="1:32" ht="11.25" customHeight="1" x14ac:dyDescent="0.25">
      <c r="A151" s="3" t="s">
        <v>21</v>
      </c>
      <c r="B151" s="3" t="s">
        <v>33</v>
      </c>
      <c r="C151" s="3" t="s">
        <v>23</v>
      </c>
      <c r="D151" s="3" t="s">
        <v>47</v>
      </c>
      <c r="E151" s="3" t="s">
        <v>48</v>
      </c>
      <c r="F151" s="3" t="s">
        <v>25</v>
      </c>
      <c r="G151" s="3" t="s">
        <v>25</v>
      </c>
      <c r="H151" s="3" t="s">
        <v>25</v>
      </c>
      <c r="I151" s="6">
        <v>44621</v>
      </c>
      <c r="J151" s="4">
        <v>0</v>
      </c>
      <c r="K151" s="52">
        <v>0</v>
      </c>
      <c r="L151" s="4">
        <v>6.742</v>
      </c>
      <c r="M151" s="52">
        <v>6.742</v>
      </c>
      <c r="N151" s="4">
        <v>6.742</v>
      </c>
      <c r="O151" s="52">
        <v>6.742</v>
      </c>
      <c r="P151" s="4">
        <v>12</v>
      </c>
      <c r="Q151" s="3" t="s">
        <v>26</v>
      </c>
      <c r="R151" s="3">
        <v>0</v>
      </c>
      <c r="S151" s="3">
        <v>0</v>
      </c>
      <c r="T151" s="3">
        <v>50</v>
      </c>
      <c r="U151" s="3">
        <v>83</v>
      </c>
      <c r="V151" s="52">
        <f>IF(ISERROR(VLOOKUP($S$151,'TAR FIN'!$A$1:$O$88,15,0)),0,VLOOKUP($S$151,'TAR FIN'!$A$1:$O$88,15,0))</f>
        <v>0</v>
      </c>
      <c r="W151" s="52">
        <f>IF(ISERROR(VLOOKUP($T$151,'TAR FIN'!$A$1:$O$88,15,0)),0,VLOOKUP($T$151,'TAR FIN'!$A$1:$O$88,15,0))*(1-0.06)</f>
        <v>447.49639999999999</v>
      </c>
      <c r="X151" s="52">
        <f>IF(ISERROR(VLOOKUP($U$151,'TAR FIN'!$A$1:$O$88,15,0)),0,VLOOKUP($U$151,'TAR FIN'!$A$1:$O$88,15,0))*(1-0.06)</f>
        <v>155.29740000000001</v>
      </c>
      <c r="Y151" s="52"/>
      <c r="Z151" s="52">
        <f ca="1">('TUSD BE'!$AM$48+'TUSD BF'!$AM$48+'TUSD CVA'!$AM$48)*1*(1-0.03)</f>
        <v>513.8222840120734</v>
      </c>
      <c r="AA151" s="52">
        <f>('TE BE'!$AB$38+'TE BF'!$AB$38+'TE CVA'!$AB$38)*1*(1-0.03)</f>
        <v>149.33869153269211</v>
      </c>
      <c r="AB151" s="52">
        <f>(SUBSIDIO!$J$151*SUBSIDIO!$V$151)*(0.06)/(1-0.06)</f>
        <v>0</v>
      </c>
      <c r="AC151" s="52">
        <f>((SUBSIDIO!$L$151*SUBSIDIO!$W$151)+(SUBSIDIO!$N$151*SUBSIDIO!$X$151))*(0.06)/(1-0.06)</f>
        <v>259.40654040000004</v>
      </c>
      <c r="AD151" s="52">
        <f>(SUBSIDIO!$J$151*SUBSIDIO!$Y$151)*(0.03)/(1-0.03)</f>
        <v>0</v>
      </c>
      <c r="AE151" s="52">
        <f ca="1">((SUBSIDIO!$L$151*SUBSIDIO!$Z$151)+(SUBSIDIO!$N$151*SUBSIDIO!$AA$151))*(0.03)/(1-0.03)</f>
        <v>138.27931846771571</v>
      </c>
      <c r="AF151" s="3" t="s">
        <v>549</v>
      </c>
    </row>
    <row r="152" spans="1:32" ht="11.25" customHeight="1" x14ac:dyDescent="0.25">
      <c r="A152" s="3" t="s">
        <v>21</v>
      </c>
      <c r="B152" s="3" t="s">
        <v>33</v>
      </c>
      <c r="C152" s="3" t="s">
        <v>23</v>
      </c>
      <c r="D152" s="3" t="s">
        <v>47</v>
      </c>
      <c r="E152" s="3" t="s">
        <v>48</v>
      </c>
      <c r="F152" s="3" t="s">
        <v>25</v>
      </c>
      <c r="G152" s="3" t="s">
        <v>25</v>
      </c>
      <c r="H152" s="3" t="s">
        <v>25</v>
      </c>
      <c r="I152" s="6">
        <v>44652</v>
      </c>
      <c r="J152" s="4">
        <v>0</v>
      </c>
      <c r="K152" s="52">
        <v>0</v>
      </c>
      <c r="L152" s="4">
        <v>6.8230000000000004</v>
      </c>
      <c r="M152" s="52">
        <v>6.8230000000000004</v>
      </c>
      <c r="N152" s="4">
        <v>6.8230000000000004</v>
      </c>
      <c r="O152" s="52">
        <v>6.8230000000000004</v>
      </c>
      <c r="P152" s="4">
        <v>12</v>
      </c>
      <c r="Q152" s="3" t="s">
        <v>26</v>
      </c>
      <c r="R152" s="3">
        <v>0</v>
      </c>
      <c r="S152" s="3">
        <v>0</v>
      </c>
      <c r="T152" s="3">
        <v>50</v>
      </c>
      <c r="U152" s="3">
        <v>83</v>
      </c>
      <c r="V152" s="52">
        <f>IF(ISERROR(VLOOKUP($S$152,'TAR FIN'!$A$1:$O$88,15,0)),0,VLOOKUP($S$152,'TAR FIN'!$A$1:$O$88,15,0))</f>
        <v>0</v>
      </c>
      <c r="W152" s="52">
        <f>IF(ISERROR(VLOOKUP($T$152,'TAR FIN'!$A$1:$O$88,15,0)),0,VLOOKUP($T$152,'TAR FIN'!$A$1:$O$88,15,0))*(1-0.06)</f>
        <v>447.49639999999999</v>
      </c>
      <c r="X152" s="52">
        <f>IF(ISERROR(VLOOKUP($U$152,'TAR FIN'!$A$1:$O$88,15,0)),0,VLOOKUP($U$152,'TAR FIN'!$A$1:$O$88,15,0))*(1-0.06)</f>
        <v>155.29740000000001</v>
      </c>
      <c r="Y152" s="52"/>
      <c r="Z152" s="52">
        <f ca="1">('TUSD BE'!$AM$48+'TUSD BF'!$AM$48+'TUSD CVA'!$AM$48)*1*(1-0.03)</f>
        <v>513.8222840120734</v>
      </c>
      <c r="AA152" s="52">
        <f>('TE BE'!$AB$38+'TE BF'!$AB$38+'TE CVA'!$AB$38)*1*(1-0.03)</f>
        <v>149.33869153269211</v>
      </c>
      <c r="AB152" s="52">
        <f>(SUBSIDIO!$J$152*SUBSIDIO!$V$152)*(0.06)/(1-0.06)</f>
        <v>0</v>
      </c>
      <c r="AC152" s="52">
        <f>((SUBSIDIO!$L$152*SUBSIDIO!$W$152)+(SUBSIDIO!$N$152*SUBSIDIO!$X$152))*(0.06)/(1-0.06)</f>
        <v>262.52311260000005</v>
      </c>
      <c r="AD152" s="52">
        <f>(SUBSIDIO!$J$152*SUBSIDIO!$Y$152)*(0.03)/(1-0.03)</f>
        <v>0</v>
      </c>
      <c r="AE152" s="52">
        <f ca="1">((SUBSIDIO!$L$152*SUBSIDIO!$Z$152)+(SUBSIDIO!$N$152*SUBSIDIO!$AA$152))*(0.03)/(1-0.03)</f>
        <v>139.94063926212169</v>
      </c>
      <c r="AF152" s="3" t="s">
        <v>549</v>
      </c>
    </row>
    <row r="153" spans="1:32" ht="11.25" customHeight="1" x14ac:dyDescent="0.25">
      <c r="A153" s="3" t="s">
        <v>21</v>
      </c>
      <c r="B153" s="3" t="s">
        <v>33</v>
      </c>
      <c r="C153" s="3" t="s">
        <v>23</v>
      </c>
      <c r="D153" s="3" t="s">
        <v>47</v>
      </c>
      <c r="E153" s="3" t="s">
        <v>48</v>
      </c>
      <c r="F153" s="3" t="s">
        <v>25</v>
      </c>
      <c r="G153" s="3" t="s">
        <v>25</v>
      </c>
      <c r="H153" s="3" t="s">
        <v>25</v>
      </c>
      <c r="I153" s="6">
        <v>44682</v>
      </c>
      <c r="J153" s="4">
        <v>0</v>
      </c>
      <c r="K153" s="52">
        <v>0</v>
      </c>
      <c r="L153" s="4">
        <v>11.523</v>
      </c>
      <c r="M153" s="52">
        <v>11.523</v>
      </c>
      <c r="N153" s="4">
        <v>11.523</v>
      </c>
      <c r="O153" s="52">
        <v>11.523</v>
      </c>
      <c r="P153" s="4">
        <v>12</v>
      </c>
      <c r="Q153" s="3" t="s">
        <v>26</v>
      </c>
      <c r="R153" s="3">
        <v>0</v>
      </c>
      <c r="S153" s="3">
        <v>0</v>
      </c>
      <c r="T153" s="3">
        <v>50</v>
      </c>
      <c r="U153" s="3">
        <v>83</v>
      </c>
      <c r="V153" s="52">
        <f>IF(ISERROR(VLOOKUP($S$153,'TAR FIN'!$A$1:$O$88,15,0)),0,VLOOKUP($S$153,'TAR FIN'!$A$1:$O$88,15,0))</f>
        <v>0</v>
      </c>
      <c r="W153" s="52">
        <f>IF(ISERROR(VLOOKUP($T$153,'TAR FIN'!$A$1:$O$88,15,0)),0,VLOOKUP($T$153,'TAR FIN'!$A$1:$O$88,15,0))*(1-0.06)</f>
        <v>447.49639999999999</v>
      </c>
      <c r="X153" s="52">
        <f>IF(ISERROR(VLOOKUP($U$153,'TAR FIN'!$A$1:$O$88,15,0)),0,VLOOKUP($U$153,'TAR FIN'!$A$1:$O$88,15,0))*(1-0.06)</f>
        <v>155.29740000000001</v>
      </c>
      <c r="Y153" s="52"/>
      <c r="Z153" s="52">
        <f ca="1">('TUSD BE'!$AM$48+'TUSD BF'!$AM$48+'TUSD CVA'!$AM$48)*1*(1-0.03)</f>
        <v>513.8222840120734</v>
      </c>
      <c r="AA153" s="52">
        <f>('TE BE'!$AB$38+'TE BF'!$AB$38+'TE CVA'!$AB$38)*1*(1-0.03)</f>
        <v>149.33869153269211</v>
      </c>
      <c r="AB153" s="52">
        <f>(SUBSIDIO!$J$153*SUBSIDIO!$V$153)*(0.06)/(1-0.06)</f>
        <v>0</v>
      </c>
      <c r="AC153" s="52">
        <f>((SUBSIDIO!$L$153*SUBSIDIO!$W$153)+(SUBSIDIO!$N$153*SUBSIDIO!$X$153))*(0.06)/(1-0.06)</f>
        <v>443.36125259999994</v>
      </c>
      <c r="AD153" s="52">
        <f>(SUBSIDIO!$J$153*SUBSIDIO!$Y$153)*(0.03)/(1-0.03)</f>
        <v>0</v>
      </c>
      <c r="AE153" s="52">
        <f ca="1">((SUBSIDIO!$L$153*SUBSIDIO!$Z$153)+(SUBSIDIO!$N$153*SUBSIDIO!$AA$153))*(0.03)/(1-0.03)</f>
        <v>236.33826560419584</v>
      </c>
      <c r="AF153" s="3" t="s">
        <v>549</v>
      </c>
    </row>
    <row r="154" spans="1:32" ht="11.25" customHeight="1" x14ac:dyDescent="0.25">
      <c r="A154" s="3" t="s">
        <v>21</v>
      </c>
      <c r="B154" s="3" t="s">
        <v>33</v>
      </c>
      <c r="C154" s="3" t="s">
        <v>23</v>
      </c>
      <c r="D154" s="3" t="s">
        <v>47</v>
      </c>
      <c r="E154" s="3" t="s">
        <v>48</v>
      </c>
      <c r="F154" s="3" t="s">
        <v>25</v>
      </c>
      <c r="G154" s="3" t="s">
        <v>25</v>
      </c>
      <c r="H154" s="3" t="s">
        <v>25</v>
      </c>
      <c r="I154" s="6">
        <v>44713</v>
      </c>
      <c r="J154" s="4">
        <v>0</v>
      </c>
      <c r="K154" s="52">
        <v>0</v>
      </c>
      <c r="L154" s="4">
        <v>5.4969999999999999</v>
      </c>
      <c r="M154" s="52">
        <v>5.4969999999999999</v>
      </c>
      <c r="N154" s="4">
        <v>5.4969999999999999</v>
      </c>
      <c r="O154" s="52">
        <v>5.4969999999999999</v>
      </c>
      <c r="P154" s="4">
        <v>14</v>
      </c>
      <c r="Q154" s="3" t="s">
        <v>26</v>
      </c>
      <c r="R154" s="3">
        <v>0</v>
      </c>
      <c r="S154" s="3">
        <v>0</v>
      </c>
      <c r="T154" s="3">
        <v>50</v>
      </c>
      <c r="U154" s="3">
        <v>83</v>
      </c>
      <c r="V154" s="52">
        <f>IF(ISERROR(VLOOKUP($S$154,'TAR FIN'!$A$1:$O$88,15,0)),0,VLOOKUP($S$154,'TAR FIN'!$A$1:$O$88,15,0))</f>
        <v>0</v>
      </c>
      <c r="W154" s="52">
        <f>IF(ISERROR(VLOOKUP($T$154,'TAR FIN'!$A$1:$O$88,15,0)),0,VLOOKUP($T$154,'TAR FIN'!$A$1:$O$88,15,0))*(1-0.06)</f>
        <v>447.49639999999999</v>
      </c>
      <c r="X154" s="52">
        <f>IF(ISERROR(VLOOKUP($U$154,'TAR FIN'!$A$1:$O$88,15,0)),0,VLOOKUP($U$154,'TAR FIN'!$A$1:$O$88,15,0))*(1-0.06)</f>
        <v>155.29740000000001</v>
      </c>
      <c r="Y154" s="52"/>
      <c r="Z154" s="52">
        <f ca="1">('TUSD BE'!$AM$48+'TUSD BF'!$AM$48+'TUSD CVA'!$AM$48)*1*(1-0.03)</f>
        <v>513.8222840120734</v>
      </c>
      <c r="AA154" s="52">
        <f>('TE BE'!$AB$38+'TE BF'!$AB$38+'TE CVA'!$AB$38)*1*(1-0.03)</f>
        <v>149.33869153269211</v>
      </c>
      <c r="AB154" s="52">
        <f>(SUBSIDIO!$J$154*SUBSIDIO!$V$154)*(0.06)/(1-0.06)</f>
        <v>0</v>
      </c>
      <c r="AC154" s="52">
        <f>((SUBSIDIO!$L$154*SUBSIDIO!$W$154)+(SUBSIDIO!$N$154*SUBSIDIO!$X$154))*(0.06)/(1-0.06)</f>
        <v>211.5036714</v>
      </c>
      <c r="AD154" s="52">
        <f>(SUBSIDIO!$J$154*SUBSIDIO!$Y$154)*(0.03)/(1-0.03)</f>
        <v>0</v>
      </c>
      <c r="AE154" s="52">
        <f ca="1">((SUBSIDIO!$L$154*SUBSIDIO!$Z$154)+(SUBSIDIO!$N$154*SUBSIDIO!$AA$154))*(0.03)/(1-0.03)</f>
        <v>112.74420255369823</v>
      </c>
      <c r="AF154" s="3" t="s">
        <v>549</v>
      </c>
    </row>
    <row r="155" spans="1:32" ht="11.25" customHeight="1" x14ac:dyDescent="0.25">
      <c r="A155" s="3" t="s">
        <v>21</v>
      </c>
      <c r="B155" s="3" t="s">
        <v>33</v>
      </c>
      <c r="C155" s="3" t="s">
        <v>23</v>
      </c>
      <c r="D155" s="3" t="s">
        <v>47</v>
      </c>
      <c r="E155" s="3" t="s">
        <v>48</v>
      </c>
      <c r="F155" s="3" t="s">
        <v>25</v>
      </c>
      <c r="G155" s="3" t="s">
        <v>25</v>
      </c>
      <c r="H155" s="3" t="s">
        <v>25</v>
      </c>
      <c r="I155" s="6">
        <v>44743</v>
      </c>
      <c r="J155" s="4">
        <v>0</v>
      </c>
      <c r="K155" s="52">
        <v>0</v>
      </c>
      <c r="L155" s="4">
        <v>6.97</v>
      </c>
      <c r="M155" s="52">
        <v>6.97</v>
      </c>
      <c r="N155" s="4">
        <v>6.97</v>
      </c>
      <c r="O155" s="52">
        <v>6.97</v>
      </c>
      <c r="P155" s="4">
        <v>12</v>
      </c>
      <c r="Q155" s="3" t="s">
        <v>26</v>
      </c>
      <c r="R155" s="3">
        <v>0</v>
      </c>
      <c r="S155" s="3">
        <v>0</v>
      </c>
      <c r="T155" s="3">
        <v>50</v>
      </c>
      <c r="U155" s="3">
        <v>83</v>
      </c>
      <c r="V155" s="52">
        <f>IF(ISERROR(VLOOKUP($S$155,'TAR FIN'!$A$1:$O$88,15,0)),0,VLOOKUP($S$155,'TAR FIN'!$A$1:$O$88,15,0))</f>
        <v>0</v>
      </c>
      <c r="W155" s="52">
        <f>IF(ISERROR(VLOOKUP($T$155,'TAR FIN'!$A$1:$O$88,15,0)),0,VLOOKUP($T$155,'TAR FIN'!$A$1:$O$88,15,0))*(1-0.06)</f>
        <v>447.49639999999999</v>
      </c>
      <c r="X155" s="52">
        <f>IF(ISERROR(VLOOKUP($U$155,'TAR FIN'!$A$1:$O$88,15,0)),0,VLOOKUP($U$155,'TAR FIN'!$A$1:$O$88,15,0))*(1-0.06)</f>
        <v>155.29740000000001</v>
      </c>
      <c r="Y155" s="52"/>
      <c r="Z155" s="52">
        <f ca="1">('TUSD BE'!$AM$48+'TUSD BF'!$AM$48+'TUSD CVA'!$AM$48)*1*(1-0.03)</f>
        <v>513.8222840120734</v>
      </c>
      <c r="AA155" s="52">
        <f>('TE BE'!$AB$38+'TE BF'!$AB$38+'TE CVA'!$AB$38)*1*(1-0.03)</f>
        <v>149.33869153269211</v>
      </c>
      <c r="AB155" s="52">
        <f>(SUBSIDIO!$J$155*SUBSIDIO!$V$155)*(0.06)/(1-0.06)</f>
        <v>0</v>
      </c>
      <c r="AC155" s="52">
        <f>((SUBSIDIO!$L$155*SUBSIDIO!$W$155)+(SUBSIDIO!$N$155*SUBSIDIO!$X$155))*(0.06)/(1-0.06)</f>
        <v>268.17911400000003</v>
      </c>
      <c r="AD155" s="52">
        <f>(SUBSIDIO!$J$155*SUBSIDIO!$Y$155)*(0.03)/(1-0.03)</f>
        <v>0</v>
      </c>
      <c r="AE155" s="52">
        <f ca="1">((SUBSIDIO!$L$155*SUBSIDIO!$Z$155)+(SUBSIDIO!$N$155*SUBSIDIO!$AA$155))*(0.03)/(1-0.03)</f>
        <v>142.95562885196955</v>
      </c>
      <c r="AF155" s="3" t="s">
        <v>549</v>
      </c>
    </row>
    <row r="156" spans="1:32" ht="11.25" customHeight="1" x14ac:dyDescent="0.25">
      <c r="A156" s="3" t="s">
        <v>21</v>
      </c>
      <c r="B156" s="3" t="s">
        <v>33</v>
      </c>
      <c r="C156" s="3" t="s">
        <v>23</v>
      </c>
      <c r="D156" s="3" t="s">
        <v>47</v>
      </c>
      <c r="E156" s="3" t="s">
        <v>48</v>
      </c>
      <c r="F156" s="3" t="s">
        <v>25</v>
      </c>
      <c r="G156" s="3" t="s">
        <v>25</v>
      </c>
      <c r="H156" s="3" t="s">
        <v>25</v>
      </c>
      <c r="I156" s="6">
        <v>44774</v>
      </c>
      <c r="J156" s="4">
        <v>0</v>
      </c>
      <c r="K156" s="52">
        <v>0</v>
      </c>
      <c r="L156" s="4">
        <v>10.010999999999999</v>
      </c>
      <c r="M156" s="52">
        <v>10.010999999999999</v>
      </c>
      <c r="N156" s="4">
        <v>10.010999999999999</v>
      </c>
      <c r="O156" s="52">
        <v>10.010999999999999</v>
      </c>
      <c r="P156" s="4">
        <v>12</v>
      </c>
      <c r="Q156" s="3" t="s">
        <v>26</v>
      </c>
      <c r="R156" s="3">
        <v>0</v>
      </c>
      <c r="S156" s="3">
        <v>0</v>
      </c>
      <c r="T156" s="3">
        <v>50</v>
      </c>
      <c r="U156" s="3">
        <v>83</v>
      </c>
      <c r="V156" s="52">
        <f>IF(ISERROR(VLOOKUP($S$156,'TAR FIN'!$A$1:$O$88,15,0)),0,VLOOKUP($S$156,'TAR FIN'!$A$1:$O$88,15,0))</f>
        <v>0</v>
      </c>
      <c r="W156" s="52">
        <f>IF(ISERROR(VLOOKUP($T$156,'TAR FIN'!$A$1:$O$88,15,0)),0,VLOOKUP($T$156,'TAR FIN'!$A$1:$O$88,15,0))*(1-0.06)</f>
        <v>447.49639999999999</v>
      </c>
      <c r="X156" s="52">
        <f>IF(ISERROR(VLOOKUP($U$156,'TAR FIN'!$A$1:$O$88,15,0)),0,VLOOKUP($U$156,'TAR FIN'!$A$1:$O$88,15,0))*(1-0.06)</f>
        <v>155.29740000000001</v>
      </c>
      <c r="Y156" s="52"/>
      <c r="Z156" s="52">
        <f ca="1">('TUSD BE'!$AM$48+'TUSD BF'!$AM$48+'TUSD CVA'!$AM$48)*1*(1-0.03)</f>
        <v>513.8222840120734</v>
      </c>
      <c r="AA156" s="52">
        <f>('TE BE'!$AB$38+'TE BF'!$AB$38+'TE CVA'!$AB$38)*1*(1-0.03)</f>
        <v>149.33869153269211</v>
      </c>
      <c r="AB156" s="52">
        <f>(SUBSIDIO!$J$156*SUBSIDIO!$V$156)*(0.06)/(1-0.06)</f>
        <v>0</v>
      </c>
      <c r="AC156" s="52">
        <f>((SUBSIDIO!$L$156*SUBSIDIO!$W$156)+(SUBSIDIO!$N$156*SUBSIDIO!$X$156))*(0.06)/(1-0.06)</f>
        <v>385.18523820000001</v>
      </c>
      <c r="AD156" s="52">
        <f>(SUBSIDIO!$J$156*SUBSIDIO!$Y$156)*(0.03)/(1-0.03)</f>
        <v>0</v>
      </c>
      <c r="AE156" s="52">
        <f ca="1">((SUBSIDIO!$L$156*SUBSIDIO!$Z$156)+(SUBSIDIO!$N$156*SUBSIDIO!$AA$156))*(0.03)/(1-0.03)</f>
        <v>205.32694410861794</v>
      </c>
      <c r="AF156" s="3" t="s">
        <v>549</v>
      </c>
    </row>
    <row r="157" spans="1:32" ht="11.25" customHeight="1" x14ac:dyDescent="0.25"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2" ht="11.25" customHeight="1" x14ac:dyDescent="0.25"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2" ht="11.25" customHeight="1" x14ac:dyDescent="0.25"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2" ht="11.25" customHeight="1" x14ac:dyDescent="0.25"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22:31" ht="11.25" customHeight="1" x14ac:dyDescent="0.25"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22:31" ht="11.25" customHeight="1" x14ac:dyDescent="0.25"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22:31" ht="11.25" customHeight="1" x14ac:dyDescent="0.25"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22:31" ht="11.25" customHeight="1" x14ac:dyDescent="0.25"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22:31" ht="11.25" customHeight="1" x14ac:dyDescent="0.25"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22:31" ht="11.25" customHeight="1" x14ac:dyDescent="0.25"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22:31" ht="11.25" customHeight="1" x14ac:dyDescent="0.25"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22:31" ht="11.25" customHeight="1" x14ac:dyDescent="0.25"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22:31" ht="11.25" customHeight="1" x14ac:dyDescent="0.25"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22:31" ht="11.25" customHeight="1" x14ac:dyDescent="0.25"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22:31" ht="11.25" customHeight="1" x14ac:dyDescent="0.25"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22:31" ht="11.25" customHeight="1" x14ac:dyDescent="0.25"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22:31" ht="11.25" customHeight="1" x14ac:dyDescent="0.25"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22:31" ht="11.25" customHeight="1" x14ac:dyDescent="0.25"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22:31" ht="11.25" customHeight="1" x14ac:dyDescent="0.25"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22:31" ht="11.25" customHeight="1" x14ac:dyDescent="0.25"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22:31" ht="11.25" customHeight="1" x14ac:dyDescent="0.25"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22:31" ht="11.25" customHeight="1" x14ac:dyDescent="0.25"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22:31" ht="11.25" customHeight="1" x14ac:dyDescent="0.25"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22:31" ht="11.25" customHeight="1" x14ac:dyDescent="0.25"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22:31" ht="11.25" customHeight="1" x14ac:dyDescent="0.25"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22:31" ht="11.25" customHeight="1" x14ac:dyDescent="0.25"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22:31" ht="11.25" customHeight="1" x14ac:dyDescent="0.25"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22:31" ht="11.25" customHeight="1" x14ac:dyDescent="0.25"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22:31" ht="11.25" customHeight="1" x14ac:dyDescent="0.25"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22:31" ht="11.25" customHeight="1" x14ac:dyDescent="0.25"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22:31" ht="11.25" customHeight="1" x14ac:dyDescent="0.25"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22:31" ht="11.25" customHeight="1" x14ac:dyDescent="0.25"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22:31" ht="11.25" customHeight="1" x14ac:dyDescent="0.25"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22:31" ht="11.25" customHeight="1" x14ac:dyDescent="0.25"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22:31" ht="11.25" customHeight="1" x14ac:dyDescent="0.25"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22:31" ht="11.25" customHeight="1" x14ac:dyDescent="0.25"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22:31" ht="11.25" customHeight="1" x14ac:dyDescent="0.25"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22:31" ht="11.25" customHeight="1" x14ac:dyDescent="0.25"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22:31" ht="11.25" customHeight="1" x14ac:dyDescent="0.25"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22:31" ht="11.25" customHeight="1" x14ac:dyDescent="0.25"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22:31" ht="11.25" customHeight="1" x14ac:dyDescent="0.25"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22:31" ht="11.25" customHeight="1" x14ac:dyDescent="0.25"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22:31" ht="11.25" customHeight="1" x14ac:dyDescent="0.25"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22:31" ht="11.25" customHeight="1" x14ac:dyDescent="0.25"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22:31" ht="11.25" customHeight="1" x14ac:dyDescent="0.25"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22:31" ht="11.25" customHeight="1" x14ac:dyDescent="0.25"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22:31" ht="11.25" customHeight="1" x14ac:dyDescent="0.25"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22:31" ht="11.25" customHeight="1" x14ac:dyDescent="0.25"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22:31" ht="11.25" customHeight="1" x14ac:dyDescent="0.25"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22:31" ht="11.25" customHeight="1" x14ac:dyDescent="0.25"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22:31" ht="11.25" customHeight="1" x14ac:dyDescent="0.25"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22:31" ht="11.25" customHeight="1" x14ac:dyDescent="0.25"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22:31" ht="11.25" customHeight="1" x14ac:dyDescent="0.25"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2:31" ht="11.25" customHeight="1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2:31" ht="11.25" customHeight="1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2:31" ht="11.25" customHeight="1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2:31" ht="11.25" customHeight="1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2:31" ht="11.25" customHeight="1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2:31" ht="11.25" customHeight="1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2:31" ht="11.25" customHeight="1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2:31" ht="11.25" customHeight="1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2:31" ht="11.25" customHeight="1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2:31" ht="11.25" customHeight="1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2:31" ht="11.25" customHeight="1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2:31" ht="11.25" customHeight="1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2:31" ht="11.25" customHeight="1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2:31" ht="11.25" customHeight="1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2:31" ht="11.25" customHeight="1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6B66-9C66-4E77-97DF-A0238E98720A}">
  <dimension ref="A1:J392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39" bestFit="1" customWidth="1"/>
    <col min="3" max="3" width="25.5703125" style="39" bestFit="1" customWidth="1"/>
    <col min="4" max="4" width="26" style="39" bestFit="1" customWidth="1"/>
    <col min="5" max="5" width="26.85546875" style="39" bestFit="1" customWidth="1"/>
    <col min="6" max="6" width="23.7109375" style="39" bestFit="1" customWidth="1"/>
    <col min="7" max="7" width="24.5703125" style="39" bestFit="1" customWidth="1"/>
    <col min="8" max="8" width="18.28515625" style="40" bestFit="1" customWidth="1"/>
    <col min="9" max="9" width="16" style="40" bestFit="1" customWidth="1"/>
    <col min="10" max="10" width="13.85546875" style="40" bestFit="1" customWidth="1"/>
    <col min="11" max="16384" width="9.140625" style="14"/>
  </cols>
  <sheetData>
    <row r="1" spans="1:10" ht="11.25" customHeight="1" x14ac:dyDescent="0.2">
      <c r="A1" s="38" t="s">
        <v>534</v>
      </c>
      <c r="B1" s="39" t="s">
        <v>535</v>
      </c>
      <c r="C1" s="39" t="s">
        <v>536</v>
      </c>
      <c r="D1" s="39" t="s">
        <v>537</v>
      </c>
      <c r="E1" s="39" t="s">
        <v>538</v>
      </c>
      <c r="F1" s="39" t="s">
        <v>539</v>
      </c>
      <c r="G1" s="39" t="s">
        <v>540</v>
      </c>
      <c r="H1" s="40" t="s">
        <v>541</v>
      </c>
      <c r="I1" s="40" t="s">
        <v>542</v>
      </c>
      <c r="J1" s="40" t="s">
        <v>543</v>
      </c>
    </row>
    <row r="2" spans="1:10" ht="11.25" customHeight="1" x14ac:dyDescent="0.2">
      <c r="A2" s="41" t="s">
        <v>26</v>
      </c>
      <c r="B2" s="39">
        <v>1075825.7999999991</v>
      </c>
      <c r="C2" s="39">
        <v>1186661.8854878484</v>
      </c>
      <c r="D2" s="39">
        <v>10225745.952554997</v>
      </c>
      <c r="E2" s="39">
        <v>11993821.212679273</v>
      </c>
      <c r="F2" s="39">
        <v>4472321.2447624002</v>
      </c>
      <c r="G2" s="39">
        <v>4068667.6934350724</v>
      </c>
      <c r="H2" s="40">
        <v>0.16625221577585902</v>
      </c>
      <c r="I2" s="40">
        <v>-9.0255938524105628E-2</v>
      </c>
      <c r="J2" s="40">
        <v>9.3525282220165318E-2</v>
      </c>
    </row>
    <row r="3" spans="1:10" ht="11.25" customHeight="1" x14ac:dyDescent="0.2">
      <c r="A3" s="42" t="s">
        <v>35</v>
      </c>
      <c r="B3" s="39">
        <v>1075825.7999999991</v>
      </c>
      <c r="C3" s="39">
        <v>1186661.8854878484</v>
      </c>
      <c r="D3" s="39">
        <v>1088130.7065713995</v>
      </c>
      <c r="E3" s="39">
        <v>1376543.3226269246</v>
      </c>
      <c r="F3" s="39">
        <v>1289874.3292098001</v>
      </c>
      <c r="G3" s="39">
        <v>1165005.6115807532</v>
      </c>
      <c r="H3" s="40">
        <v>0.18449941130099212</v>
      </c>
      <c r="I3" s="40">
        <v>-9.6806886377484247E-2</v>
      </c>
      <c r="J3" s="40">
        <v>7.9442218498888106E-2</v>
      </c>
    </row>
    <row r="4" spans="1:10" ht="11.25" customHeight="1" x14ac:dyDescent="0.2">
      <c r="A4" s="43" t="s">
        <v>36</v>
      </c>
      <c r="B4" s="39">
        <v>1075825.7999999991</v>
      </c>
      <c r="C4" s="39">
        <v>1186661.8854878484</v>
      </c>
      <c r="D4" s="39">
        <v>1088130.7065713995</v>
      </c>
      <c r="E4" s="39">
        <v>1376543.3226269246</v>
      </c>
      <c r="F4" s="39">
        <v>1289874.3292098001</v>
      </c>
      <c r="G4" s="39">
        <v>1165005.6115807532</v>
      </c>
      <c r="H4" s="40">
        <v>0.18449941130099212</v>
      </c>
      <c r="I4" s="40">
        <v>-9.6806886377484247E-2</v>
      </c>
      <c r="J4" s="40">
        <v>7.9442218498888106E-2</v>
      </c>
    </row>
    <row r="5" spans="1:10" ht="11.25" customHeight="1" x14ac:dyDescent="0.2">
      <c r="A5" s="44" t="s">
        <v>39</v>
      </c>
      <c r="B5" s="39">
        <v>336988.98000000004</v>
      </c>
      <c r="C5" s="39">
        <v>371706.99791306979</v>
      </c>
      <c r="D5" s="39">
        <v>343515.26731999998</v>
      </c>
      <c r="E5" s="39">
        <v>443841.73000989179</v>
      </c>
      <c r="F5" s="39">
        <v>473704.98089999997</v>
      </c>
      <c r="G5" s="39">
        <v>427847.07663756522</v>
      </c>
      <c r="H5" s="40">
        <v>0.19844766749774334</v>
      </c>
      <c r="I5" s="40">
        <v>-9.6806886377484469E-2</v>
      </c>
      <c r="J5" s="40">
        <v>7.7270718479758305E-2</v>
      </c>
    </row>
    <row r="6" spans="1:10" ht="11.25" customHeight="1" x14ac:dyDescent="0.2">
      <c r="A6" s="45" t="s">
        <v>25</v>
      </c>
      <c r="B6" s="39">
        <v>336988.98000000004</v>
      </c>
      <c r="C6" s="39">
        <v>371706.99791306979</v>
      </c>
      <c r="D6" s="39">
        <v>343515.26731999998</v>
      </c>
      <c r="E6" s="39">
        <v>443841.73000989179</v>
      </c>
      <c r="F6" s="39">
        <v>473704.98089999997</v>
      </c>
      <c r="G6" s="39">
        <v>427847.07663756522</v>
      </c>
      <c r="H6" s="40">
        <v>0.19844766749774334</v>
      </c>
      <c r="I6" s="40">
        <v>-9.6806886377484469E-2</v>
      </c>
      <c r="J6" s="40">
        <v>7.7270718479758305E-2</v>
      </c>
    </row>
    <row r="7" spans="1:10" ht="11.25" customHeight="1" x14ac:dyDescent="0.2">
      <c r="A7" s="46" t="s">
        <v>25</v>
      </c>
      <c r="B7" s="39">
        <v>336988.98000000004</v>
      </c>
      <c r="C7" s="39">
        <v>371706.99791306979</v>
      </c>
      <c r="D7" s="39">
        <v>343515.26731999998</v>
      </c>
      <c r="E7" s="39">
        <v>443841.73000989179</v>
      </c>
      <c r="F7" s="39">
        <v>473704.98089999997</v>
      </c>
      <c r="G7" s="39">
        <v>427847.07663756522</v>
      </c>
      <c r="H7" s="40">
        <v>0.19844766749774334</v>
      </c>
      <c r="I7" s="40">
        <v>-9.6806886377484469E-2</v>
      </c>
      <c r="J7" s="40">
        <v>7.7270718479758305E-2</v>
      </c>
    </row>
    <row r="8" spans="1:10" ht="11.25" customHeight="1" x14ac:dyDescent="0.2">
      <c r="A8" s="47" t="s">
        <v>25</v>
      </c>
      <c r="B8" s="39">
        <v>336988.98000000004</v>
      </c>
      <c r="C8" s="39">
        <v>371706.99791306979</v>
      </c>
      <c r="D8" s="39">
        <v>343515.26731999998</v>
      </c>
      <c r="E8" s="39">
        <v>443841.73000989179</v>
      </c>
      <c r="F8" s="39">
        <v>473704.98089999997</v>
      </c>
      <c r="G8" s="39">
        <v>427847.07663756522</v>
      </c>
      <c r="H8" s="40">
        <v>0.19844766749774334</v>
      </c>
      <c r="I8" s="40">
        <v>-9.6806886377484469E-2</v>
      </c>
      <c r="J8" s="40">
        <v>7.7270718479758305E-2</v>
      </c>
    </row>
    <row r="9" spans="1:10" ht="11.25" customHeight="1" x14ac:dyDescent="0.2">
      <c r="A9" s="48" t="s">
        <v>38</v>
      </c>
      <c r="B9" s="39">
        <v>0</v>
      </c>
      <c r="C9" s="39">
        <v>0</v>
      </c>
      <c r="D9" s="39">
        <v>189421.01311999996</v>
      </c>
      <c r="E9" s="39">
        <v>272959.08390232653</v>
      </c>
      <c r="F9" s="39">
        <v>463481.12526</v>
      </c>
      <c r="G9" s="39">
        <v>418612.96062884654</v>
      </c>
      <c r="H9" s="40">
        <v>0.44101797053215219</v>
      </c>
      <c r="I9" s="40">
        <v>-9.6806886377484469E-2</v>
      </c>
      <c r="J9" s="40">
        <v>5.9227721702860503E-2</v>
      </c>
    </row>
    <row r="10" spans="1:10" ht="11.25" customHeight="1" x14ac:dyDescent="0.2">
      <c r="A10" s="49">
        <v>44440</v>
      </c>
      <c r="B10" s="39">
        <v>0</v>
      </c>
      <c r="C10" s="39">
        <v>0</v>
      </c>
      <c r="D10" s="39">
        <v>13823.774719999998</v>
      </c>
      <c r="E10" s="39">
        <v>19920.307792108069</v>
      </c>
      <c r="F10" s="39">
        <v>33824.434560000002</v>
      </c>
      <c r="G10" s="39">
        <v>30549.99636676742</v>
      </c>
      <c r="H10" s="40">
        <v>0.44101797053215241</v>
      </c>
      <c r="I10" s="40">
        <v>-9.680688637748458E-2</v>
      </c>
      <c r="J10" s="40">
        <v>5.9227721702860503E-2</v>
      </c>
    </row>
    <row r="11" spans="1:10" ht="11.25" customHeight="1" x14ac:dyDescent="0.2">
      <c r="A11" s="49">
        <v>44470</v>
      </c>
      <c r="B11" s="39">
        <v>0</v>
      </c>
      <c r="C11" s="39">
        <v>0</v>
      </c>
      <c r="D11" s="39">
        <v>12884.233919999999</v>
      </c>
      <c r="E11" s="39">
        <v>18566.412615259913</v>
      </c>
      <c r="F11" s="39">
        <v>31525.537410000001</v>
      </c>
      <c r="G11" s="39">
        <v>28473.648291960995</v>
      </c>
      <c r="H11" s="40">
        <v>0.44101797053215219</v>
      </c>
      <c r="I11" s="40">
        <v>-9.6806886377484469E-2</v>
      </c>
      <c r="J11" s="40">
        <v>5.9227721702860281E-2</v>
      </c>
    </row>
    <row r="12" spans="1:10" ht="11.25" customHeight="1" x14ac:dyDescent="0.2">
      <c r="A12" s="49">
        <v>44501</v>
      </c>
      <c r="B12" s="39">
        <v>0</v>
      </c>
      <c r="C12" s="39">
        <v>0</v>
      </c>
      <c r="D12" s="39">
        <v>17807.927359999998</v>
      </c>
      <c r="E12" s="39">
        <v>25661.543343691184</v>
      </c>
      <c r="F12" s="39">
        <v>43572.981030000003</v>
      </c>
      <c r="G12" s="39">
        <v>39354.816406300502</v>
      </c>
      <c r="H12" s="40">
        <v>0.44101797053215219</v>
      </c>
      <c r="I12" s="40">
        <v>-9.680688637748458E-2</v>
      </c>
      <c r="J12" s="40">
        <v>5.9227721702860503E-2</v>
      </c>
    </row>
    <row r="13" spans="1:10" ht="11.25" customHeight="1" x14ac:dyDescent="0.2">
      <c r="A13" s="49">
        <v>44531</v>
      </c>
      <c r="B13" s="39">
        <v>0</v>
      </c>
      <c r="C13" s="39">
        <v>0</v>
      </c>
      <c r="D13" s="39">
        <v>17287.753279999997</v>
      </c>
      <c r="E13" s="39">
        <v>24911.963146606155</v>
      </c>
      <c r="F13" s="39">
        <v>42300.20319</v>
      </c>
      <c r="G13" s="39">
        <v>38205.252226041164</v>
      </c>
      <c r="H13" s="40">
        <v>0.44101797053215219</v>
      </c>
      <c r="I13" s="40">
        <v>-9.6806886377484469E-2</v>
      </c>
      <c r="J13" s="40">
        <v>5.9227721702860503E-2</v>
      </c>
    </row>
    <row r="14" spans="1:10" ht="11.25" customHeight="1" x14ac:dyDescent="0.2">
      <c r="A14" s="49">
        <v>44562</v>
      </c>
      <c r="B14" s="39">
        <v>0</v>
      </c>
      <c r="C14" s="39">
        <v>0</v>
      </c>
      <c r="D14" s="39">
        <v>25007.584959999996</v>
      </c>
      <c r="E14" s="39">
        <v>36036.379326969567</v>
      </c>
      <c r="F14" s="39">
        <v>61189.323329999999</v>
      </c>
      <c r="G14" s="39">
        <v>55265.775458877528</v>
      </c>
      <c r="H14" s="40">
        <v>0.44101797053215219</v>
      </c>
      <c r="I14" s="40">
        <v>-9.6806886377484469E-2</v>
      </c>
      <c r="J14" s="40">
        <v>5.9227721702860281E-2</v>
      </c>
    </row>
    <row r="15" spans="1:10" ht="11.25" customHeight="1" x14ac:dyDescent="0.2">
      <c r="A15" s="49">
        <v>44593</v>
      </c>
      <c r="B15" s="39">
        <v>0</v>
      </c>
      <c r="C15" s="39">
        <v>0</v>
      </c>
      <c r="D15" s="39">
        <v>15096.189119999999</v>
      </c>
      <c r="E15" s="39">
        <v>21753.879808471953</v>
      </c>
      <c r="F15" s="39">
        <v>36937.817009999999</v>
      </c>
      <c r="G15" s="39">
        <v>33361.981955680618</v>
      </c>
      <c r="H15" s="40">
        <v>0.44101797053215197</v>
      </c>
      <c r="I15" s="40">
        <v>-9.6806886377484469E-2</v>
      </c>
      <c r="J15" s="40">
        <v>5.9227721702860503E-2</v>
      </c>
    </row>
    <row r="16" spans="1:10" ht="11.25" customHeight="1" x14ac:dyDescent="0.2">
      <c r="A16" s="49">
        <v>44621</v>
      </c>
      <c r="B16" s="39">
        <v>0</v>
      </c>
      <c r="C16" s="39">
        <v>0</v>
      </c>
      <c r="D16" s="39">
        <v>18927.543999999998</v>
      </c>
      <c r="E16" s="39">
        <v>27274.93104203801</v>
      </c>
      <c r="F16" s="39">
        <v>46312.49325</v>
      </c>
      <c r="G16" s="39">
        <v>41829.124978089232</v>
      </c>
      <c r="H16" s="40">
        <v>0.44101797053215219</v>
      </c>
      <c r="I16" s="40">
        <v>-9.6806886377484469E-2</v>
      </c>
      <c r="J16" s="40">
        <v>5.9227721702860503E-2</v>
      </c>
    </row>
    <row r="17" spans="1:10" ht="11.25" customHeight="1" x14ac:dyDescent="0.2">
      <c r="A17" s="49">
        <v>44652</v>
      </c>
      <c r="B17" s="39">
        <v>0</v>
      </c>
      <c r="C17" s="39">
        <v>0</v>
      </c>
      <c r="D17" s="39">
        <v>13536.207039999999</v>
      </c>
      <c r="E17" s="39">
        <v>19505.917597483829</v>
      </c>
      <c r="F17" s="39">
        <v>33120.80517</v>
      </c>
      <c r="G17" s="39">
        <v>29914.483147177012</v>
      </c>
      <c r="H17" s="40">
        <v>0.44101797053215219</v>
      </c>
      <c r="I17" s="40">
        <v>-9.6806886377484358E-2</v>
      </c>
      <c r="J17" s="40">
        <v>5.9227721702860503E-2</v>
      </c>
    </row>
    <row r="18" spans="1:10" ht="11.25" customHeight="1" x14ac:dyDescent="0.2">
      <c r="A18" s="49">
        <v>44682</v>
      </c>
      <c r="B18" s="39">
        <v>0</v>
      </c>
      <c r="C18" s="39">
        <v>0</v>
      </c>
      <c r="D18" s="39">
        <v>12952.699199999999</v>
      </c>
      <c r="E18" s="39">
        <v>18665.07231409743</v>
      </c>
      <c r="F18" s="39">
        <v>31693.060350000003</v>
      </c>
      <c r="G18" s="39">
        <v>28624.953857742792</v>
      </c>
      <c r="H18" s="40">
        <v>0.44101797053215219</v>
      </c>
      <c r="I18" s="40">
        <v>-9.680688637748458E-2</v>
      </c>
      <c r="J18" s="40">
        <v>5.9227721702860281E-2</v>
      </c>
    </row>
    <row r="19" spans="1:10" ht="11.25" customHeight="1" x14ac:dyDescent="0.2">
      <c r="A19" s="49">
        <v>44713</v>
      </c>
      <c r="B19" s="39">
        <v>0</v>
      </c>
      <c r="C19" s="39">
        <v>0</v>
      </c>
      <c r="D19" s="39">
        <v>12390.122559999998</v>
      </c>
      <c r="E19" s="39">
        <v>17854.38926605583</v>
      </c>
      <c r="F19" s="39">
        <v>30316.530629999997</v>
      </c>
      <c r="G19" s="39">
        <v>27381.681693942061</v>
      </c>
      <c r="H19" s="40">
        <v>0.44101797053215219</v>
      </c>
      <c r="I19" s="40">
        <v>-9.6806886377484469E-2</v>
      </c>
      <c r="J19" s="40">
        <v>5.9227721702860281E-2</v>
      </c>
    </row>
    <row r="20" spans="1:10" ht="11.25" customHeight="1" x14ac:dyDescent="0.2">
      <c r="A20" s="49">
        <v>44743</v>
      </c>
      <c r="B20" s="39">
        <v>0</v>
      </c>
      <c r="C20" s="39">
        <v>0</v>
      </c>
      <c r="D20" s="39">
        <v>14327.67648</v>
      </c>
      <c r="E20" s="39">
        <v>20646.439283650849</v>
      </c>
      <c r="F20" s="39">
        <v>35057.396790000006</v>
      </c>
      <c r="G20" s="39">
        <v>31663.599362260084</v>
      </c>
      <c r="H20" s="40">
        <v>0.44101797053215219</v>
      </c>
      <c r="I20" s="40">
        <v>-9.680688637748458E-2</v>
      </c>
      <c r="J20" s="40">
        <v>5.9227721702860281E-2</v>
      </c>
    </row>
    <row r="21" spans="1:10" ht="11.25" customHeight="1" x14ac:dyDescent="0.2">
      <c r="A21" s="49">
        <v>44774</v>
      </c>
      <c r="B21" s="39">
        <v>0</v>
      </c>
      <c r="C21" s="39">
        <v>0</v>
      </c>
      <c r="D21" s="39">
        <v>15379.30048</v>
      </c>
      <c r="E21" s="39">
        <v>22161.848365893751</v>
      </c>
      <c r="F21" s="39">
        <v>37630.542540000002</v>
      </c>
      <c r="G21" s="39">
        <v>33987.646884007125</v>
      </c>
      <c r="H21" s="40">
        <v>0.44101797053215197</v>
      </c>
      <c r="I21" s="40">
        <v>-9.6806886377484469E-2</v>
      </c>
      <c r="J21" s="40">
        <v>5.9227721702860503E-2</v>
      </c>
    </row>
    <row r="22" spans="1:10" ht="11.25" customHeight="1" x14ac:dyDescent="0.2">
      <c r="A22" s="48" t="s">
        <v>25</v>
      </c>
      <c r="B22" s="39">
        <v>336988.98000000004</v>
      </c>
      <c r="C22" s="39">
        <v>371706.99791306979</v>
      </c>
      <c r="D22" s="39">
        <v>0</v>
      </c>
      <c r="E22" s="39">
        <v>0</v>
      </c>
      <c r="F22" s="39">
        <v>0</v>
      </c>
      <c r="G22" s="39">
        <v>0</v>
      </c>
      <c r="H22" s="40">
        <v>0.10302419358956416</v>
      </c>
      <c r="I22" s="40">
        <v>0</v>
      </c>
      <c r="J22" s="40">
        <v>0.10302419358956416</v>
      </c>
    </row>
    <row r="23" spans="1:10" ht="11.25" customHeight="1" x14ac:dyDescent="0.2">
      <c r="A23" s="49">
        <v>44440</v>
      </c>
      <c r="B23" s="39">
        <v>23133.96</v>
      </c>
      <c r="C23" s="39">
        <v>25517.317573533237</v>
      </c>
      <c r="D23" s="39">
        <v>0</v>
      </c>
      <c r="E23" s="39">
        <v>0</v>
      </c>
      <c r="F23" s="39">
        <v>0</v>
      </c>
      <c r="G23" s="39">
        <v>0</v>
      </c>
      <c r="H23" s="40">
        <v>0.10302419358956438</v>
      </c>
      <c r="I23" s="40">
        <v>0</v>
      </c>
      <c r="J23" s="40">
        <v>0.10302419358956438</v>
      </c>
    </row>
    <row r="24" spans="1:10" ht="11.25" customHeight="1" x14ac:dyDescent="0.2">
      <c r="A24" s="49">
        <v>44470</v>
      </c>
      <c r="B24" s="39">
        <v>22908.42</v>
      </c>
      <c r="C24" s="39">
        <v>25268.541496911046</v>
      </c>
      <c r="D24" s="39">
        <v>0</v>
      </c>
      <c r="E24" s="39">
        <v>0</v>
      </c>
      <c r="F24" s="39">
        <v>0</v>
      </c>
      <c r="G24" s="39">
        <v>0</v>
      </c>
      <c r="H24" s="40">
        <v>0.10302419358956438</v>
      </c>
      <c r="I24" s="40">
        <v>0</v>
      </c>
      <c r="J24" s="40">
        <v>0.10302419358956438</v>
      </c>
    </row>
    <row r="25" spans="1:10" ht="11.25" customHeight="1" x14ac:dyDescent="0.2">
      <c r="A25" s="49">
        <v>44501</v>
      </c>
      <c r="B25" s="39">
        <v>31575.599999999999</v>
      </c>
      <c r="C25" s="39">
        <v>34828.650727106644</v>
      </c>
      <c r="D25" s="39">
        <v>0</v>
      </c>
      <c r="E25" s="39">
        <v>0</v>
      </c>
      <c r="F25" s="39">
        <v>0</v>
      </c>
      <c r="G25" s="39">
        <v>0</v>
      </c>
      <c r="H25" s="40">
        <v>0.10302419358956416</v>
      </c>
      <c r="I25" s="40">
        <v>0</v>
      </c>
      <c r="J25" s="40">
        <v>0.10302419358956416</v>
      </c>
    </row>
    <row r="26" spans="1:10" ht="11.25" customHeight="1" x14ac:dyDescent="0.2">
      <c r="A26" s="49">
        <v>44531</v>
      </c>
      <c r="B26" s="39">
        <v>32123.34</v>
      </c>
      <c r="C26" s="39">
        <v>35432.821198903395</v>
      </c>
      <c r="D26" s="39">
        <v>0</v>
      </c>
      <c r="E26" s="39">
        <v>0</v>
      </c>
      <c r="F26" s="39">
        <v>0</v>
      </c>
      <c r="G26" s="39">
        <v>0</v>
      </c>
      <c r="H26" s="40">
        <v>0.10302419358956438</v>
      </c>
      <c r="I26" s="40">
        <v>0</v>
      </c>
      <c r="J26" s="40">
        <v>0.10302419358956438</v>
      </c>
    </row>
    <row r="27" spans="1:10" ht="11.25" customHeight="1" x14ac:dyDescent="0.2">
      <c r="A27" s="49">
        <v>44562</v>
      </c>
      <c r="B27" s="39">
        <v>34507.619999999995</v>
      </c>
      <c r="C27" s="39">
        <v>38062.739723195118</v>
      </c>
      <c r="D27" s="39">
        <v>0</v>
      </c>
      <c r="E27" s="39">
        <v>0</v>
      </c>
      <c r="F27" s="39">
        <v>0</v>
      </c>
      <c r="G27" s="39">
        <v>0</v>
      </c>
      <c r="H27" s="40">
        <v>0.10302419358956438</v>
      </c>
      <c r="I27" s="40">
        <v>0</v>
      </c>
      <c r="J27" s="40">
        <v>0.10302419358956438</v>
      </c>
    </row>
    <row r="28" spans="1:10" ht="11.25" customHeight="1" x14ac:dyDescent="0.2">
      <c r="A28" s="49">
        <v>44593</v>
      </c>
      <c r="B28" s="39">
        <v>33154.379999999997</v>
      </c>
      <c r="C28" s="39">
        <v>36570.08326346198</v>
      </c>
      <c r="D28" s="39">
        <v>0</v>
      </c>
      <c r="E28" s="39">
        <v>0</v>
      </c>
      <c r="F28" s="39">
        <v>0</v>
      </c>
      <c r="G28" s="39">
        <v>0</v>
      </c>
      <c r="H28" s="40">
        <v>0.10302419358956438</v>
      </c>
      <c r="I28" s="40">
        <v>0</v>
      </c>
      <c r="J28" s="40">
        <v>0.10302419358956438</v>
      </c>
    </row>
    <row r="29" spans="1:10" ht="11.25" customHeight="1" x14ac:dyDescent="0.2">
      <c r="A29" s="49">
        <v>44621</v>
      </c>
      <c r="B29" s="39">
        <v>32928.839999999997</v>
      </c>
      <c r="C29" s="39">
        <v>36321.307186839789</v>
      </c>
      <c r="D29" s="39">
        <v>0</v>
      </c>
      <c r="E29" s="39">
        <v>0</v>
      </c>
      <c r="F29" s="39">
        <v>0</v>
      </c>
      <c r="G29" s="39">
        <v>0</v>
      </c>
      <c r="H29" s="40">
        <v>0.10302419358956438</v>
      </c>
      <c r="I29" s="40">
        <v>0</v>
      </c>
      <c r="J29" s="40">
        <v>0.10302419358956438</v>
      </c>
    </row>
    <row r="30" spans="1:10" ht="11.25" customHeight="1" x14ac:dyDescent="0.2">
      <c r="A30" s="49">
        <v>44652</v>
      </c>
      <c r="B30" s="39">
        <v>25260.48</v>
      </c>
      <c r="C30" s="39">
        <v>27862.920581685317</v>
      </c>
      <c r="D30" s="39">
        <v>0</v>
      </c>
      <c r="E30" s="39">
        <v>0</v>
      </c>
      <c r="F30" s="39">
        <v>0</v>
      </c>
      <c r="G30" s="39">
        <v>0</v>
      </c>
      <c r="H30" s="40">
        <v>0.10302419358956438</v>
      </c>
      <c r="I30" s="40">
        <v>0</v>
      </c>
      <c r="J30" s="40">
        <v>0.10302419358956438</v>
      </c>
    </row>
    <row r="31" spans="1:10" ht="11.25" customHeight="1" x14ac:dyDescent="0.2">
      <c r="A31" s="49">
        <v>44682</v>
      </c>
      <c r="B31" s="39">
        <v>25099.379999999997</v>
      </c>
      <c r="C31" s="39">
        <v>27685.223384098037</v>
      </c>
      <c r="D31" s="39">
        <v>0</v>
      </c>
      <c r="E31" s="39">
        <v>0</v>
      </c>
      <c r="F31" s="39">
        <v>0</v>
      </c>
      <c r="G31" s="39">
        <v>0</v>
      </c>
      <c r="H31" s="40">
        <v>0.10302419358956438</v>
      </c>
      <c r="I31" s="40">
        <v>0</v>
      </c>
      <c r="J31" s="40">
        <v>0.10302419358956438</v>
      </c>
    </row>
    <row r="32" spans="1:10" ht="11.25" customHeight="1" x14ac:dyDescent="0.2">
      <c r="A32" s="49">
        <v>44713</v>
      </c>
      <c r="B32" s="39">
        <v>25550.46</v>
      </c>
      <c r="C32" s="39">
        <v>28182.775537342419</v>
      </c>
      <c r="D32" s="39">
        <v>0</v>
      </c>
      <c r="E32" s="39">
        <v>0</v>
      </c>
      <c r="F32" s="39">
        <v>0</v>
      </c>
      <c r="G32" s="39">
        <v>0</v>
      </c>
      <c r="H32" s="40">
        <v>0.10302419358956438</v>
      </c>
      <c r="I32" s="40">
        <v>0</v>
      </c>
      <c r="J32" s="40">
        <v>0.10302419358956438</v>
      </c>
    </row>
    <row r="33" spans="1:10" ht="11.25" customHeight="1" x14ac:dyDescent="0.2">
      <c r="A33" s="49">
        <v>44743</v>
      </c>
      <c r="B33" s="39">
        <v>25260.48</v>
      </c>
      <c r="C33" s="39">
        <v>27862.920581685317</v>
      </c>
      <c r="D33" s="39">
        <v>0</v>
      </c>
      <c r="E33" s="39">
        <v>0</v>
      </c>
      <c r="F33" s="39">
        <v>0</v>
      </c>
      <c r="G33" s="39">
        <v>0</v>
      </c>
      <c r="H33" s="40">
        <v>0.10302419358956438</v>
      </c>
      <c r="I33" s="40">
        <v>0</v>
      </c>
      <c r="J33" s="40">
        <v>0.10302419358956438</v>
      </c>
    </row>
    <row r="34" spans="1:10" ht="11.25" customHeight="1" x14ac:dyDescent="0.2">
      <c r="A34" s="49">
        <v>44774</v>
      </c>
      <c r="B34" s="39">
        <v>25486.02</v>
      </c>
      <c r="C34" s="39">
        <v>28111.696658307508</v>
      </c>
      <c r="D34" s="39">
        <v>0</v>
      </c>
      <c r="E34" s="39">
        <v>0</v>
      </c>
      <c r="F34" s="39">
        <v>0</v>
      </c>
      <c r="G34" s="39">
        <v>0</v>
      </c>
      <c r="H34" s="40">
        <v>0.10302419358956438</v>
      </c>
      <c r="I34" s="40">
        <v>0</v>
      </c>
      <c r="J34" s="40">
        <v>0.10302419358956438</v>
      </c>
    </row>
    <row r="35" spans="1:10" ht="11.25" customHeight="1" x14ac:dyDescent="0.2">
      <c r="A35" s="48" t="s">
        <v>37</v>
      </c>
      <c r="B35" s="39">
        <v>0</v>
      </c>
      <c r="C35" s="39">
        <v>0</v>
      </c>
      <c r="D35" s="39">
        <v>154094.25420000002</v>
      </c>
      <c r="E35" s="39">
        <v>170882.64610756532</v>
      </c>
      <c r="F35" s="39">
        <v>10223.85564</v>
      </c>
      <c r="G35" s="39">
        <v>9234.1160087187163</v>
      </c>
      <c r="H35" s="40">
        <v>0.10894885078437455</v>
      </c>
      <c r="I35" s="40">
        <v>-9.6806886377484469E-2</v>
      </c>
      <c r="J35" s="40">
        <v>9.6146750298354178E-2</v>
      </c>
    </row>
    <row r="36" spans="1:10" ht="11.25" customHeight="1" x14ac:dyDescent="0.2">
      <c r="A36" s="49">
        <v>44440</v>
      </c>
      <c r="B36" s="39">
        <v>0</v>
      </c>
      <c r="C36" s="39">
        <v>0</v>
      </c>
      <c r="D36" s="39">
        <v>9417.3690999999999</v>
      </c>
      <c r="E36" s="39">
        <v>10443.380640857282</v>
      </c>
      <c r="F36" s="39">
        <v>624.82422000000008</v>
      </c>
      <c r="G36" s="39">
        <v>564.33693272855965</v>
      </c>
      <c r="H36" s="40">
        <v>0.10894885078437477</v>
      </c>
      <c r="I36" s="40">
        <v>-9.680688637748458E-2</v>
      </c>
      <c r="J36" s="40">
        <v>9.61467502983544E-2</v>
      </c>
    </row>
    <row r="37" spans="1:10" ht="11.25" customHeight="1" x14ac:dyDescent="0.2">
      <c r="A37" s="49">
        <v>44470</v>
      </c>
      <c r="B37" s="39">
        <v>0</v>
      </c>
      <c r="C37" s="39">
        <v>0</v>
      </c>
      <c r="D37" s="39">
        <v>8633.0033500000009</v>
      </c>
      <c r="E37" s="39">
        <v>9573.5591438001575</v>
      </c>
      <c r="F37" s="39">
        <v>572.78307000000007</v>
      </c>
      <c r="G37" s="39">
        <v>517.33372442356324</v>
      </c>
      <c r="H37" s="40">
        <v>0.10894885078437455</v>
      </c>
      <c r="I37" s="40">
        <v>-9.680688637748458E-2</v>
      </c>
      <c r="J37" s="40">
        <v>9.6146750298354178E-2</v>
      </c>
    </row>
    <row r="38" spans="1:10" ht="11.25" customHeight="1" x14ac:dyDescent="0.2">
      <c r="A38" s="49">
        <v>44501</v>
      </c>
      <c r="B38" s="39">
        <v>0</v>
      </c>
      <c r="C38" s="39">
        <v>0</v>
      </c>
      <c r="D38" s="39">
        <v>7955.70975</v>
      </c>
      <c r="E38" s="39">
        <v>8822.4751844365455</v>
      </c>
      <c r="F38" s="39">
        <v>527.84595000000002</v>
      </c>
      <c r="G38" s="39">
        <v>476.74682709353465</v>
      </c>
      <c r="H38" s="40">
        <v>0.10894885078437477</v>
      </c>
      <c r="I38" s="40">
        <v>-9.6806886377484469E-2</v>
      </c>
      <c r="J38" s="40">
        <v>9.6146750298354178E-2</v>
      </c>
    </row>
    <row r="39" spans="1:10" ht="11.25" customHeight="1" x14ac:dyDescent="0.2">
      <c r="A39" s="49">
        <v>44531</v>
      </c>
      <c r="B39" s="39">
        <v>0</v>
      </c>
      <c r="C39" s="39">
        <v>0</v>
      </c>
      <c r="D39" s="39">
        <v>13478.640650000001</v>
      </c>
      <c r="E39" s="39">
        <v>14947.123058953059</v>
      </c>
      <c r="F39" s="39">
        <v>894.28173000000004</v>
      </c>
      <c r="G39" s="39">
        <v>807.70910017442975</v>
      </c>
      <c r="H39" s="40">
        <v>0.10894885078437477</v>
      </c>
      <c r="I39" s="40">
        <v>-9.6806886377484469E-2</v>
      </c>
      <c r="J39" s="40">
        <v>9.6146750298354178E-2</v>
      </c>
    </row>
    <row r="40" spans="1:10" ht="11.25" customHeight="1" x14ac:dyDescent="0.2">
      <c r="A40" s="49">
        <v>44562</v>
      </c>
      <c r="B40" s="39">
        <v>0</v>
      </c>
      <c r="C40" s="39">
        <v>0</v>
      </c>
      <c r="D40" s="39">
        <v>16105.643400000001</v>
      </c>
      <c r="E40" s="39">
        <v>17860.334739572951</v>
      </c>
      <c r="F40" s="39">
        <v>1068.5782799999999</v>
      </c>
      <c r="G40" s="39">
        <v>965.13254386259223</v>
      </c>
      <c r="H40" s="40">
        <v>0.10894885078437477</v>
      </c>
      <c r="I40" s="40">
        <v>-9.6806886377484469E-2</v>
      </c>
      <c r="J40" s="40">
        <v>9.6146750298354178E-2</v>
      </c>
    </row>
    <row r="41" spans="1:10" ht="11.25" customHeight="1" x14ac:dyDescent="0.2">
      <c r="A41" s="49">
        <v>44593</v>
      </c>
      <c r="B41" s="39">
        <v>0</v>
      </c>
      <c r="C41" s="39">
        <v>0</v>
      </c>
      <c r="D41" s="39">
        <v>11561.30215</v>
      </c>
      <c r="E41" s="39">
        <v>12820.892732813421</v>
      </c>
      <c r="F41" s="39">
        <v>767.07002999999997</v>
      </c>
      <c r="G41" s="39">
        <v>692.81236876221635</v>
      </c>
      <c r="H41" s="40">
        <v>0.10894885078437477</v>
      </c>
      <c r="I41" s="40">
        <v>-9.6806886377484469E-2</v>
      </c>
      <c r="J41" s="40">
        <v>9.6146750298354178E-2</v>
      </c>
    </row>
    <row r="42" spans="1:10" ht="11.25" customHeight="1" x14ac:dyDescent="0.2">
      <c r="A42" s="49">
        <v>44621</v>
      </c>
      <c r="B42" s="39">
        <v>0</v>
      </c>
      <c r="C42" s="39">
        <v>0</v>
      </c>
      <c r="D42" s="39">
        <v>11845.16785</v>
      </c>
      <c r="E42" s="39">
        <v>13135.685274605523</v>
      </c>
      <c r="F42" s="39">
        <v>785.90396999999996</v>
      </c>
      <c r="G42" s="39">
        <v>709.82305367259596</v>
      </c>
      <c r="H42" s="40">
        <v>0.10894885078437477</v>
      </c>
      <c r="I42" s="40">
        <v>-9.6806886377484469E-2</v>
      </c>
      <c r="J42" s="40">
        <v>9.61467502983544E-2</v>
      </c>
    </row>
    <row r="43" spans="1:10" ht="11.25" customHeight="1" x14ac:dyDescent="0.2">
      <c r="A43" s="49">
        <v>44652</v>
      </c>
      <c r="B43" s="39">
        <v>0</v>
      </c>
      <c r="C43" s="39">
        <v>0</v>
      </c>
      <c r="D43" s="39">
        <v>9853.1278500000008</v>
      </c>
      <c r="E43" s="39">
        <v>10926.614805889018</v>
      </c>
      <c r="F43" s="39">
        <v>653.73596999999995</v>
      </c>
      <c r="G43" s="39">
        <v>590.44982623133535</v>
      </c>
      <c r="H43" s="40">
        <v>0.10894885078437477</v>
      </c>
      <c r="I43" s="40">
        <v>-9.6806886377484469E-2</v>
      </c>
      <c r="J43" s="40">
        <v>9.6146750298354178E-2</v>
      </c>
    </row>
    <row r="44" spans="1:10" ht="11.25" customHeight="1" x14ac:dyDescent="0.2">
      <c r="A44" s="49">
        <v>44682</v>
      </c>
      <c r="B44" s="39">
        <v>0</v>
      </c>
      <c r="C44" s="39">
        <v>0</v>
      </c>
      <c r="D44" s="39">
        <v>10547.8518</v>
      </c>
      <c r="E44" s="39">
        <v>11697.028131853898</v>
      </c>
      <c r="F44" s="39">
        <v>699.82956000000001</v>
      </c>
      <c r="G44" s="39">
        <v>632.08123930147497</v>
      </c>
      <c r="H44" s="40">
        <v>0.10894885078437477</v>
      </c>
      <c r="I44" s="40">
        <v>-9.680688637748458E-2</v>
      </c>
      <c r="J44" s="40">
        <v>9.6146750298354178E-2</v>
      </c>
    </row>
    <row r="45" spans="1:10" ht="11.25" customHeight="1" x14ac:dyDescent="0.2">
      <c r="A45" s="49">
        <v>44713</v>
      </c>
      <c r="B45" s="39">
        <v>0</v>
      </c>
      <c r="C45" s="39">
        <v>0</v>
      </c>
      <c r="D45" s="39">
        <v>13478.640650000001</v>
      </c>
      <c r="E45" s="39">
        <v>14947.123058953059</v>
      </c>
      <c r="F45" s="39">
        <v>894.28173000000004</v>
      </c>
      <c r="G45" s="39">
        <v>807.70910017442975</v>
      </c>
      <c r="H45" s="40">
        <v>0.10894885078437477</v>
      </c>
      <c r="I45" s="40">
        <v>-9.6806886377484469E-2</v>
      </c>
      <c r="J45" s="40">
        <v>9.6146750298354178E-2</v>
      </c>
    </row>
    <row r="46" spans="1:10" ht="11.25" customHeight="1" x14ac:dyDescent="0.2">
      <c r="A46" s="49">
        <v>44743</v>
      </c>
      <c r="B46" s="39">
        <v>0</v>
      </c>
      <c r="C46" s="39">
        <v>0</v>
      </c>
      <c r="D46" s="39">
        <v>23015.532150000003</v>
      </c>
      <c r="E46" s="39">
        <v>25523.04792793333</v>
      </c>
      <c r="F46" s="39">
        <v>1527.0360300000002</v>
      </c>
      <c r="G46" s="39">
        <v>1379.208426549465</v>
      </c>
      <c r="H46" s="40">
        <v>0.10894885078437455</v>
      </c>
      <c r="I46" s="40">
        <v>-9.680688637748458E-2</v>
      </c>
      <c r="J46" s="40">
        <v>9.6146750298354178E-2</v>
      </c>
    </row>
    <row r="47" spans="1:10" ht="11.25" customHeight="1" x14ac:dyDescent="0.2">
      <c r="A47" s="49">
        <v>44774</v>
      </c>
      <c r="B47" s="39">
        <v>0</v>
      </c>
      <c r="C47" s="39">
        <v>0</v>
      </c>
      <c r="D47" s="39">
        <v>18202.265500000001</v>
      </c>
      <c r="E47" s="39">
        <v>20185.381407897072</v>
      </c>
      <c r="F47" s="39">
        <v>1207.6850999999999</v>
      </c>
      <c r="G47" s="39">
        <v>1090.7728657445189</v>
      </c>
      <c r="H47" s="40">
        <v>0.10894885078437455</v>
      </c>
      <c r="I47" s="40">
        <v>-9.680688637748458E-2</v>
      </c>
      <c r="J47" s="40">
        <v>9.6146750298354178E-2</v>
      </c>
    </row>
    <row r="48" spans="1:10" ht="11.25" customHeight="1" x14ac:dyDescent="0.2">
      <c r="A48" s="44" t="s">
        <v>34</v>
      </c>
      <c r="B48" s="39">
        <v>720761.39999999991</v>
      </c>
      <c r="C48" s="39">
        <v>795017.26200548559</v>
      </c>
      <c r="D48" s="39">
        <v>708900.65596</v>
      </c>
      <c r="E48" s="39">
        <v>890764.33660416002</v>
      </c>
      <c r="F48" s="39">
        <v>797086.86969000008</v>
      </c>
      <c r="G48" s="39">
        <v>719923.37166293536</v>
      </c>
      <c r="H48" s="40">
        <v>0.17914691208452371</v>
      </c>
      <c r="I48" s="40">
        <v>-9.680688637748458E-2</v>
      </c>
      <c r="J48" s="40">
        <v>8.0366512165417348E-2</v>
      </c>
    </row>
    <row r="49" spans="1:10" ht="11.25" customHeight="1" x14ac:dyDescent="0.2">
      <c r="A49" s="45" t="s">
        <v>25</v>
      </c>
      <c r="B49" s="39">
        <v>720761.39999999991</v>
      </c>
      <c r="C49" s="39">
        <v>795017.26200548559</v>
      </c>
      <c r="D49" s="39">
        <v>708900.65596</v>
      </c>
      <c r="E49" s="39">
        <v>890764.33660416002</v>
      </c>
      <c r="F49" s="39">
        <v>797086.86969000008</v>
      </c>
      <c r="G49" s="39">
        <v>719923.37166293536</v>
      </c>
      <c r="H49" s="40">
        <v>0.17914691208452371</v>
      </c>
      <c r="I49" s="40">
        <v>-9.680688637748458E-2</v>
      </c>
      <c r="J49" s="40">
        <v>8.0366512165417348E-2</v>
      </c>
    </row>
    <row r="50" spans="1:10" ht="11.25" customHeight="1" x14ac:dyDescent="0.2">
      <c r="A50" s="46" t="s">
        <v>25</v>
      </c>
      <c r="B50" s="39">
        <v>720761.39999999991</v>
      </c>
      <c r="C50" s="39">
        <v>795017.26200548559</v>
      </c>
      <c r="D50" s="39">
        <v>708900.65596</v>
      </c>
      <c r="E50" s="39">
        <v>890764.33660416002</v>
      </c>
      <c r="F50" s="39">
        <v>797086.86969000008</v>
      </c>
      <c r="G50" s="39">
        <v>719923.37166293536</v>
      </c>
      <c r="H50" s="40">
        <v>0.17914691208452371</v>
      </c>
      <c r="I50" s="40">
        <v>-9.680688637748458E-2</v>
      </c>
      <c r="J50" s="40">
        <v>8.0366512165417348E-2</v>
      </c>
    </row>
    <row r="51" spans="1:10" ht="11.25" customHeight="1" x14ac:dyDescent="0.2">
      <c r="A51" s="47" t="s">
        <v>25</v>
      </c>
      <c r="B51" s="39">
        <v>720761.39999999991</v>
      </c>
      <c r="C51" s="39">
        <v>795017.26200548559</v>
      </c>
      <c r="D51" s="39">
        <v>708900.65596</v>
      </c>
      <c r="E51" s="39">
        <v>890764.33660416002</v>
      </c>
      <c r="F51" s="39">
        <v>797086.86969000008</v>
      </c>
      <c r="G51" s="39">
        <v>719923.37166293536</v>
      </c>
      <c r="H51" s="40">
        <v>0.17914691208452371</v>
      </c>
      <c r="I51" s="40">
        <v>-9.680688637748458E-2</v>
      </c>
      <c r="J51" s="40">
        <v>8.0366512165417348E-2</v>
      </c>
    </row>
    <row r="52" spans="1:10" ht="11.25" customHeight="1" x14ac:dyDescent="0.2">
      <c r="A52" s="48" t="s">
        <v>38</v>
      </c>
      <c r="B52" s="39">
        <v>0</v>
      </c>
      <c r="C52" s="39">
        <v>0</v>
      </c>
      <c r="D52" s="39">
        <v>315084.30816000002</v>
      </c>
      <c r="E52" s="39">
        <v>454042.15029125038</v>
      </c>
      <c r="F52" s="39">
        <v>770957.91693000006</v>
      </c>
      <c r="G52" s="39">
        <v>696323.88146393537</v>
      </c>
      <c r="H52" s="40">
        <v>0.44101797053215197</v>
      </c>
      <c r="I52" s="40">
        <v>-9.680688637748458E-2</v>
      </c>
      <c r="J52" s="40">
        <v>5.9227721702860281E-2</v>
      </c>
    </row>
    <row r="53" spans="1:10" ht="11.25" customHeight="1" x14ac:dyDescent="0.2">
      <c r="A53" s="49">
        <v>44440</v>
      </c>
      <c r="B53" s="39">
        <v>0</v>
      </c>
      <c r="C53" s="39">
        <v>0</v>
      </c>
      <c r="D53" s="39">
        <v>28195.271679999998</v>
      </c>
      <c r="E53" s="39">
        <v>40629.893174916266</v>
      </c>
      <c r="F53" s="39">
        <v>68989.052640000009</v>
      </c>
      <c r="G53" s="39">
        <v>62310.437259789229</v>
      </c>
      <c r="H53" s="40">
        <v>0.44101797053215241</v>
      </c>
      <c r="I53" s="40">
        <v>-9.680688637748458E-2</v>
      </c>
      <c r="J53" s="40">
        <v>5.9227721702860281E-2</v>
      </c>
    </row>
    <row r="54" spans="1:10" ht="11.25" customHeight="1" x14ac:dyDescent="0.2">
      <c r="A54" s="49">
        <v>44470</v>
      </c>
      <c r="B54" s="39">
        <v>0</v>
      </c>
      <c r="C54" s="39">
        <v>0</v>
      </c>
      <c r="D54" s="39">
        <v>28798.225279999999</v>
      </c>
      <c r="E54" s="39">
        <v>41498.760147913315</v>
      </c>
      <c r="F54" s="39">
        <v>70464.377940000006</v>
      </c>
      <c r="G54" s="39">
        <v>63642.940911102298</v>
      </c>
      <c r="H54" s="40">
        <v>0.44101797053215219</v>
      </c>
      <c r="I54" s="40">
        <v>-9.680688637748458E-2</v>
      </c>
      <c r="J54" s="40">
        <v>5.9227721702860281E-2</v>
      </c>
    </row>
    <row r="55" spans="1:10" ht="11.25" customHeight="1" x14ac:dyDescent="0.2">
      <c r="A55" s="49">
        <v>44501</v>
      </c>
      <c r="B55" s="39">
        <v>0</v>
      </c>
      <c r="C55" s="39">
        <v>0</v>
      </c>
      <c r="D55" s="39">
        <v>31791.792000000001</v>
      </c>
      <c r="E55" s="39">
        <v>45812.54358742031</v>
      </c>
      <c r="F55" s="39">
        <v>77789.128500000006</v>
      </c>
      <c r="G55" s="39">
        <v>70258.60517589697</v>
      </c>
      <c r="H55" s="40">
        <v>0.44101797053215219</v>
      </c>
      <c r="I55" s="40">
        <v>-9.6806886377484469E-2</v>
      </c>
      <c r="J55" s="40">
        <v>5.9227721702860503E-2</v>
      </c>
    </row>
    <row r="56" spans="1:10" ht="11.25" customHeight="1" x14ac:dyDescent="0.2">
      <c r="A56" s="49">
        <v>44531</v>
      </c>
      <c r="B56" s="39">
        <v>0</v>
      </c>
      <c r="C56" s="39">
        <v>0</v>
      </c>
      <c r="D56" s="39">
        <v>23023.91488</v>
      </c>
      <c r="E56" s="39">
        <v>33177.875094082621</v>
      </c>
      <c r="F56" s="39">
        <v>56335.618740000005</v>
      </c>
      <c r="G56" s="39">
        <v>50881.942897631539</v>
      </c>
      <c r="H56" s="40">
        <v>0.44101797053215219</v>
      </c>
      <c r="I56" s="40">
        <v>-9.6806886377484469E-2</v>
      </c>
      <c r="J56" s="40">
        <v>5.9227721702860503E-2</v>
      </c>
    </row>
    <row r="57" spans="1:10" ht="11.25" customHeight="1" x14ac:dyDescent="0.2">
      <c r="A57" s="49">
        <v>44562</v>
      </c>
      <c r="B57" s="39">
        <v>0</v>
      </c>
      <c r="C57" s="39">
        <v>0</v>
      </c>
      <c r="D57" s="39">
        <v>25991.351359999997</v>
      </c>
      <c r="E57" s="39">
        <v>37454.004388175294</v>
      </c>
      <c r="F57" s="39">
        <v>63596.43303</v>
      </c>
      <c r="G57" s="39">
        <v>57439.860363651489</v>
      </c>
      <c r="H57" s="40">
        <v>0.44101797053215241</v>
      </c>
      <c r="I57" s="40">
        <v>-9.6806886377484469E-2</v>
      </c>
      <c r="J57" s="40">
        <v>5.9227721702860503E-2</v>
      </c>
    </row>
    <row r="58" spans="1:10" ht="11.25" customHeight="1" x14ac:dyDescent="0.2">
      <c r="A58" s="49">
        <v>44593</v>
      </c>
      <c r="B58" s="39">
        <v>0</v>
      </c>
      <c r="C58" s="39">
        <v>0</v>
      </c>
      <c r="D58" s="39">
        <v>25139.11392</v>
      </c>
      <c r="E58" s="39">
        <v>36225.914921974974</v>
      </c>
      <c r="F58" s="39">
        <v>61511.15241000001</v>
      </c>
      <c r="G58" s="39">
        <v>55556.449267697004</v>
      </c>
      <c r="H58" s="40">
        <v>0.44101797053215219</v>
      </c>
      <c r="I58" s="40">
        <v>-9.680688637748458E-2</v>
      </c>
      <c r="J58" s="40">
        <v>5.9227721702860281E-2</v>
      </c>
    </row>
    <row r="59" spans="1:10" ht="11.25" customHeight="1" x14ac:dyDescent="0.2">
      <c r="A59" s="49">
        <v>44621</v>
      </c>
      <c r="B59" s="39">
        <v>0</v>
      </c>
      <c r="C59" s="39">
        <v>0</v>
      </c>
      <c r="D59" s="39">
        <v>30988.979199999998</v>
      </c>
      <c r="E59" s="39">
        <v>44655.675915647073</v>
      </c>
      <c r="F59" s="39">
        <v>75824.781600000002</v>
      </c>
      <c r="G59" s="39">
        <v>68484.420583051222</v>
      </c>
      <c r="H59" s="40">
        <v>0.44101797053215219</v>
      </c>
      <c r="I59" s="40">
        <v>-9.680688637748458E-2</v>
      </c>
      <c r="J59" s="40">
        <v>5.9227721702860281E-2</v>
      </c>
    </row>
    <row r="60" spans="1:10" ht="11.25" customHeight="1" x14ac:dyDescent="0.2">
      <c r="A60" s="49">
        <v>44652</v>
      </c>
      <c r="B60" s="39">
        <v>0</v>
      </c>
      <c r="C60" s="39">
        <v>0</v>
      </c>
      <c r="D60" s="39">
        <v>24072.973119999999</v>
      </c>
      <c r="E60" s="39">
        <v>34689.58687005745</v>
      </c>
      <c r="F60" s="39">
        <v>58902.486510000002</v>
      </c>
      <c r="G60" s="39">
        <v>53200.320191075116</v>
      </c>
      <c r="H60" s="40">
        <v>0.44101797053215219</v>
      </c>
      <c r="I60" s="40">
        <v>-9.680688637748458E-2</v>
      </c>
      <c r="J60" s="40">
        <v>5.9227721702860503E-2</v>
      </c>
    </row>
    <row r="61" spans="1:10" ht="11.25" customHeight="1" x14ac:dyDescent="0.2">
      <c r="A61" s="49">
        <v>44682</v>
      </c>
      <c r="B61" s="39">
        <v>0</v>
      </c>
      <c r="C61" s="39">
        <v>0</v>
      </c>
      <c r="D61" s="39">
        <v>23619.10368</v>
      </c>
      <c r="E61" s="39">
        <v>34035.55285074209</v>
      </c>
      <c r="F61" s="39">
        <v>57791.944890000006</v>
      </c>
      <c r="G61" s="39">
        <v>52197.286647499932</v>
      </c>
      <c r="H61" s="40">
        <v>0.44101797053215219</v>
      </c>
      <c r="I61" s="40">
        <v>-9.6806886377484469E-2</v>
      </c>
      <c r="J61" s="40">
        <v>5.9227721702860281E-2</v>
      </c>
    </row>
    <row r="62" spans="1:10" ht="11.25" customHeight="1" x14ac:dyDescent="0.2">
      <c r="A62" s="49">
        <v>44713</v>
      </c>
      <c r="B62" s="39">
        <v>0</v>
      </c>
      <c r="C62" s="39">
        <v>0</v>
      </c>
      <c r="D62" s="39">
        <v>21872.563839999999</v>
      </c>
      <c r="E62" s="39">
        <v>31518.757555051736</v>
      </c>
      <c r="F62" s="39">
        <v>53518.457820000003</v>
      </c>
      <c r="G62" s="39">
        <v>48337.502554721068</v>
      </c>
      <c r="H62" s="40">
        <v>0.44101797053215219</v>
      </c>
      <c r="I62" s="40">
        <v>-9.6806886377484469E-2</v>
      </c>
      <c r="J62" s="40">
        <v>5.9227721702860503E-2</v>
      </c>
    </row>
    <row r="63" spans="1:10" ht="11.25" customHeight="1" x14ac:dyDescent="0.2">
      <c r="A63" s="49">
        <v>44743</v>
      </c>
      <c r="B63" s="39">
        <v>0</v>
      </c>
      <c r="C63" s="39">
        <v>0</v>
      </c>
      <c r="D63" s="39">
        <v>24105.450239999998</v>
      </c>
      <c r="E63" s="39">
        <v>34736.38698360858</v>
      </c>
      <c r="F63" s="39">
        <v>58981.952520000006</v>
      </c>
      <c r="G63" s="39">
        <v>53272.093344074179</v>
      </c>
      <c r="H63" s="40">
        <v>0.44101797053215219</v>
      </c>
      <c r="I63" s="40">
        <v>-9.6806886377484469E-2</v>
      </c>
      <c r="J63" s="40">
        <v>5.9227721702860503E-2</v>
      </c>
    </row>
    <row r="64" spans="1:10" ht="11.25" customHeight="1" x14ac:dyDescent="0.2">
      <c r="A64" s="49">
        <v>44774</v>
      </c>
      <c r="B64" s="39">
        <v>0</v>
      </c>
      <c r="C64" s="39">
        <v>0</v>
      </c>
      <c r="D64" s="39">
        <v>27485.568959999997</v>
      </c>
      <c r="E64" s="39">
        <v>39607.198801660714</v>
      </c>
      <c r="F64" s="39">
        <v>67252.530329999994</v>
      </c>
      <c r="G64" s="39">
        <v>60742.022267745357</v>
      </c>
      <c r="H64" s="40">
        <v>0.44101797053215219</v>
      </c>
      <c r="I64" s="40">
        <v>-9.6806886377484469E-2</v>
      </c>
      <c r="J64" s="40">
        <v>5.9227721702860503E-2</v>
      </c>
    </row>
    <row r="65" spans="1:10" ht="11.25" customHeight="1" x14ac:dyDescent="0.2">
      <c r="A65" s="48" t="s">
        <v>25</v>
      </c>
      <c r="B65" s="39">
        <v>720761.39999999991</v>
      </c>
      <c r="C65" s="39">
        <v>795017.26200548559</v>
      </c>
      <c r="D65" s="39">
        <v>0</v>
      </c>
      <c r="E65" s="39">
        <v>0</v>
      </c>
      <c r="F65" s="39">
        <v>0</v>
      </c>
      <c r="G65" s="39">
        <v>0</v>
      </c>
      <c r="H65" s="40">
        <v>0.10302419358956483</v>
      </c>
      <c r="I65" s="40">
        <v>0</v>
      </c>
      <c r="J65" s="40">
        <v>0.10302419358956483</v>
      </c>
    </row>
    <row r="66" spans="1:10" ht="11.25" customHeight="1" x14ac:dyDescent="0.2">
      <c r="A66" s="49">
        <v>44440</v>
      </c>
      <c r="B66" s="39">
        <v>61250.22</v>
      </c>
      <c r="C66" s="39">
        <v>67560.474522683406</v>
      </c>
      <c r="D66" s="39">
        <v>0</v>
      </c>
      <c r="E66" s="39">
        <v>0</v>
      </c>
      <c r="F66" s="39">
        <v>0</v>
      </c>
      <c r="G66" s="39">
        <v>0</v>
      </c>
      <c r="H66" s="40">
        <v>0.10302419358956438</v>
      </c>
      <c r="I66" s="40">
        <v>0</v>
      </c>
      <c r="J66" s="40">
        <v>0.10302419358956438</v>
      </c>
    </row>
    <row r="67" spans="1:10" ht="11.25" customHeight="1" x14ac:dyDescent="0.2">
      <c r="A67" s="49">
        <v>44470</v>
      </c>
      <c r="B67" s="39">
        <v>61379.1</v>
      </c>
      <c r="C67" s="39">
        <v>67702.632280753227</v>
      </c>
      <c r="D67" s="39">
        <v>0</v>
      </c>
      <c r="E67" s="39">
        <v>0</v>
      </c>
      <c r="F67" s="39">
        <v>0</v>
      </c>
      <c r="G67" s="39">
        <v>0</v>
      </c>
      <c r="H67" s="40">
        <v>0.10302419358956438</v>
      </c>
      <c r="I67" s="40">
        <v>0</v>
      </c>
      <c r="J67" s="40">
        <v>0.10302419358956438</v>
      </c>
    </row>
    <row r="68" spans="1:10" ht="11.25" customHeight="1" x14ac:dyDescent="0.2">
      <c r="A68" s="49">
        <v>44501</v>
      </c>
      <c r="B68" s="39">
        <v>61089.119999999995</v>
      </c>
      <c r="C68" s="39">
        <v>67382.777325096118</v>
      </c>
      <c r="D68" s="39">
        <v>0</v>
      </c>
      <c r="E68" s="39">
        <v>0</v>
      </c>
      <c r="F68" s="39">
        <v>0</v>
      </c>
      <c r="G68" s="39">
        <v>0</v>
      </c>
      <c r="H68" s="40">
        <v>0.10302419358956438</v>
      </c>
      <c r="I68" s="40">
        <v>0</v>
      </c>
      <c r="J68" s="40">
        <v>0.10302419358956438</v>
      </c>
    </row>
    <row r="69" spans="1:10" ht="11.25" customHeight="1" x14ac:dyDescent="0.2">
      <c r="A69" s="49">
        <v>44531</v>
      </c>
      <c r="B69" s="39">
        <v>61443.54</v>
      </c>
      <c r="C69" s="39">
        <v>67773.71115978813</v>
      </c>
      <c r="D69" s="39">
        <v>0</v>
      </c>
      <c r="E69" s="39">
        <v>0</v>
      </c>
      <c r="F69" s="39">
        <v>0</v>
      </c>
      <c r="G69" s="39">
        <v>0</v>
      </c>
      <c r="H69" s="40">
        <v>0.10302419358956416</v>
      </c>
      <c r="I69" s="40">
        <v>0</v>
      </c>
      <c r="J69" s="40">
        <v>0.10302419358956416</v>
      </c>
    </row>
    <row r="70" spans="1:10" ht="11.25" customHeight="1" x14ac:dyDescent="0.2">
      <c r="A70" s="49">
        <v>44562</v>
      </c>
      <c r="B70" s="39">
        <v>61056.9</v>
      </c>
      <c r="C70" s="39">
        <v>67347.237885578666</v>
      </c>
      <c r="D70" s="39">
        <v>0</v>
      </c>
      <c r="E70" s="39">
        <v>0</v>
      </c>
      <c r="F70" s="39">
        <v>0</v>
      </c>
      <c r="G70" s="39">
        <v>0</v>
      </c>
      <c r="H70" s="40">
        <v>0.10302419358956416</v>
      </c>
      <c r="I70" s="40">
        <v>0</v>
      </c>
      <c r="J70" s="40">
        <v>0.10302419358956416</v>
      </c>
    </row>
    <row r="71" spans="1:10" ht="11.25" customHeight="1" x14ac:dyDescent="0.2">
      <c r="A71" s="49">
        <v>44593</v>
      </c>
      <c r="B71" s="39">
        <v>61475.759999999995</v>
      </c>
      <c r="C71" s="39">
        <v>67809.250599305597</v>
      </c>
      <c r="D71" s="39">
        <v>0</v>
      </c>
      <c r="E71" s="39">
        <v>0</v>
      </c>
      <c r="F71" s="39">
        <v>0</v>
      </c>
      <c r="G71" s="39">
        <v>0</v>
      </c>
      <c r="H71" s="40">
        <v>0.10302419358956438</v>
      </c>
      <c r="I71" s="40">
        <v>0</v>
      </c>
      <c r="J71" s="40">
        <v>0.10302419358956438</v>
      </c>
    </row>
    <row r="72" spans="1:10" ht="11.25" customHeight="1" x14ac:dyDescent="0.2">
      <c r="A72" s="49">
        <v>44621</v>
      </c>
      <c r="B72" s="39">
        <v>61121.34</v>
      </c>
      <c r="C72" s="39">
        <v>67418.316764613584</v>
      </c>
      <c r="D72" s="39">
        <v>0</v>
      </c>
      <c r="E72" s="39">
        <v>0</v>
      </c>
      <c r="F72" s="39">
        <v>0</v>
      </c>
      <c r="G72" s="39">
        <v>0</v>
      </c>
      <c r="H72" s="40">
        <v>0.10302419358956438</v>
      </c>
      <c r="I72" s="40">
        <v>0</v>
      </c>
      <c r="J72" s="40">
        <v>0.10302419358956438</v>
      </c>
    </row>
    <row r="73" spans="1:10" ht="11.25" customHeight="1" x14ac:dyDescent="0.2">
      <c r="A73" s="49">
        <v>44652</v>
      </c>
      <c r="B73" s="39">
        <v>58672.619999999995</v>
      </c>
      <c r="C73" s="39">
        <v>64717.319361286944</v>
      </c>
      <c r="D73" s="39">
        <v>0</v>
      </c>
      <c r="E73" s="39">
        <v>0</v>
      </c>
      <c r="F73" s="39">
        <v>0</v>
      </c>
      <c r="G73" s="39">
        <v>0</v>
      </c>
      <c r="H73" s="40">
        <v>0.10302419358956438</v>
      </c>
      <c r="I73" s="40">
        <v>0</v>
      </c>
      <c r="J73" s="40">
        <v>0.10302419358956438</v>
      </c>
    </row>
    <row r="74" spans="1:10" ht="11.25" customHeight="1" x14ac:dyDescent="0.2">
      <c r="A74" s="49">
        <v>44682</v>
      </c>
      <c r="B74" s="39">
        <v>57996</v>
      </c>
      <c r="C74" s="39">
        <v>63970.991131420371</v>
      </c>
      <c r="D74" s="39">
        <v>0</v>
      </c>
      <c r="E74" s="39">
        <v>0</v>
      </c>
      <c r="F74" s="39">
        <v>0</v>
      </c>
      <c r="G74" s="39">
        <v>0</v>
      </c>
      <c r="H74" s="40">
        <v>0.10302419358956438</v>
      </c>
      <c r="I74" s="40">
        <v>0</v>
      </c>
      <c r="J74" s="40">
        <v>0.10302419358956438</v>
      </c>
    </row>
    <row r="75" spans="1:10" ht="11.25" customHeight="1" x14ac:dyDescent="0.2">
      <c r="A75" s="49">
        <v>44713</v>
      </c>
      <c r="B75" s="39">
        <v>57706.02</v>
      </c>
      <c r="C75" s="39">
        <v>63651.136175763269</v>
      </c>
      <c r="D75" s="39">
        <v>0</v>
      </c>
      <c r="E75" s="39">
        <v>0</v>
      </c>
      <c r="F75" s="39">
        <v>0</v>
      </c>
      <c r="G75" s="39">
        <v>0</v>
      </c>
      <c r="H75" s="40">
        <v>0.10302419358956438</v>
      </c>
      <c r="I75" s="40">
        <v>0</v>
      </c>
      <c r="J75" s="40">
        <v>0.10302419358956438</v>
      </c>
    </row>
    <row r="76" spans="1:10" ht="11.25" customHeight="1" x14ac:dyDescent="0.2">
      <c r="A76" s="49">
        <v>44743</v>
      </c>
      <c r="B76" s="39">
        <v>58737.06</v>
      </c>
      <c r="C76" s="39">
        <v>64788.398240321854</v>
      </c>
      <c r="D76" s="39">
        <v>0</v>
      </c>
      <c r="E76" s="39">
        <v>0</v>
      </c>
      <c r="F76" s="39">
        <v>0</v>
      </c>
      <c r="G76" s="39">
        <v>0</v>
      </c>
      <c r="H76" s="40">
        <v>0.10302419358956438</v>
      </c>
      <c r="I76" s="40">
        <v>0</v>
      </c>
      <c r="J76" s="40">
        <v>0.10302419358956438</v>
      </c>
    </row>
    <row r="77" spans="1:10" ht="11.25" customHeight="1" x14ac:dyDescent="0.2">
      <c r="A77" s="49">
        <v>44774</v>
      </c>
      <c r="B77" s="39">
        <v>58833.72</v>
      </c>
      <c r="C77" s="39">
        <v>64895.016558874224</v>
      </c>
      <c r="D77" s="39">
        <v>0</v>
      </c>
      <c r="E77" s="39">
        <v>0</v>
      </c>
      <c r="F77" s="39">
        <v>0</v>
      </c>
      <c r="G77" s="39">
        <v>0</v>
      </c>
      <c r="H77" s="40">
        <v>0.10302419358956438</v>
      </c>
      <c r="I77" s="40">
        <v>0</v>
      </c>
      <c r="J77" s="40">
        <v>0.10302419358956438</v>
      </c>
    </row>
    <row r="78" spans="1:10" ht="11.25" customHeight="1" x14ac:dyDescent="0.2">
      <c r="A78" s="48" t="s">
        <v>37</v>
      </c>
      <c r="B78" s="39">
        <v>0</v>
      </c>
      <c r="C78" s="39">
        <v>0</v>
      </c>
      <c r="D78" s="39">
        <v>393816.34779999999</v>
      </c>
      <c r="E78" s="39">
        <v>436722.1863129097</v>
      </c>
      <c r="F78" s="39">
        <v>26128.95276</v>
      </c>
      <c r="G78" s="39">
        <v>23599.490199000022</v>
      </c>
      <c r="H78" s="40">
        <v>0.108948850784375</v>
      </c>
      <c r="I78" s="40">
        <v>-9.6806886377484469E-2</v>
      </c>
      <c r="J78" s="40">
        <v>9.61467502983544E-2</v>
      </c>
    </row>
    <row r="79" spans="1:10" ht="11.25" customHeight="1" x14ac:dyDescent="0.2">
      <c r="A79" s="49">
        <v>44440</v>
      </c>
      <c r="B79" s="39">
        <v>0</v>
      </c>
      <c r="C79" s="39">
        <v>0</v>
      </c>
      <c r="D79" s="39">
        <v>33648.04565</v>
      </c>
      <c r="E79" s="39">
        <v>37313.961554707683</v>
      </c>
      <c r="F79" s="39">
        <v>2232.4827300000002</v>
      </c>
      <c r="G79" s="39">
        <v>2016.3630280171938</v>
      </c>
      <c r="H79" s="40">
        <v>0.10894885078437477</v>
      </c>
      <c r="I79" s="40">
        <v>-9.6806886377484469E-2</v>
      </c>
      <c r="J79" s="40">
        <v>9.6146750298354178E-2</v>
      </c>
    </row>
    <row r="80" spans="1:10" ht="11.25" customHeight="1" x14ac:dyDescent="0.2">
      <c r="A80" s="49">
        <v>44470</v>
      </c>
      <c r="B80" s="39">
        <v>0</v>
      </c>
      <c r="C80" s="39">
        <v>0</v>
      </c>
      <c r="D80" s="39">
        <v>33130.115250000003</v>
      </c>
      <c r="E80" s="39">
        <v>36739.603232841393</v>
      </c>
      <c r="F80" s="39">
        <v>2198.1190500000002</v>
      </c>
      <c r="G80" s="39">
        <v>1985.3259888824659</v>
      </c>
      <c r="H80" s="40">
        <v>0.10894885078437477</v>
      </c>
      <c r="I80" s="40">
        <v>-9.680688637748458E-2</v>
      </c>
      <c r="J80" s="40">
        <v>9.61467502983544E-2</v>
      </c>
    </row>
    <row r="81" spans="1:10" ht="11.25" customHeight="1" x14ac:dyDescent="0.2">
      <c r="A81" s="49">
        <v>44501</v>
      </c>
      <c r="B81" s="39">
        <v>0</v>
      </c>
      <c r="C81" s="39">
        <v>0</v>
      </c>
      <c r="D81" s="39">
        <v>38107.725200000001</v>
      </c>
      <c r="E81" s="39">
        <v>42259.518066546763</v>
      </c>
      <c r="F81" s="39">
        <v>2528.3738400000002</v>
      </c>
      <c r="G81" s="39">
        <v>2283.6098409513161</v>
      </c>
      <c r="H81" s="40">
        <v>0.10894885078437477</v>
      </c>
      <c r="I81" s="40">
        <v>-9.6806886377484469E-2</v>
      </c>
      <c r="J81" s="40">
        <v>9.61467502983544E-2</v>
      </c>
    </row>
    <row r="82" spans="1:10" ht="11.25" customHeight="1" x14ac:dyDescent="0.2">
      <c r="A82" s="49">
        <v>44531</v>
      </c>
      <c r="B82" s="39">
        <v>0</v>
      </c>
      <c r="C82" s="39">
        <v>0</v>
      </c>
      <c r="D82" s="39">
        <v>33155.015749999999</v>
      </c>
      <c r="E82" s="39">
        <v>36767.216613700344</v>
      </c>
      <c r="F82" s="39">
        <v>2199.77115</v>
      </c>
      <c r="G82" s="39">
        <v>1986.8181542254815</v>
      </c>
      <c r="H82" s="40">
        <v>0.10894885078437477</v>
      </c>
      <c r="I82" s="40">
        <v>-9.680688637748458E-2</v>
      </c>
      <c r="J82" s="40">
        <v>9.61467502983544E-2</v>
      </c>
    </row>
    <row r="83" spans="1:10" ht="11.25" customHeight="1" x14ac:dyDescent="0.2">
      <c r="A83" s="49">
        <v>44562</v>
      </c>
      <c r="B83" s="39">
        <v>0</v>
      </c>
      <c r="C83" s="39">
        <v>0</v>
      </c>
      <c r="D83" s="39">
        <v>34126.135249999999</v>
      </c>
      <c r="E83" s="39">
        <v>37844.138467199642</v>
      </c>
      <c r="F83" s="39">
        <v>2264.2030500000001</v>
      </c>
      <c r="G83" s="39">
        <v>2045.0126026030962</v>
      </c>
      <c r="H83" s="40">
        <v>0.10894885078437477</v>
      </c>
      <c r="I83" s="40">
        <v>-9.6806886377484469E-2</v>
      </c>
      <c r="J83" s="40">
        <v>9.6146750298354178E-2</v>
      </c>
    </row>
    <row r="84" spans="1:10" ht="11.25" customHeight="1" x14ac:dyDescent="0.2">
      <c r="A84" s="49">
        <v>44593</v>
      </c>
      <c r="B84" s="39">
        <v>0</v>
      </c>
      <c r="C84" s="39">
        <v>0</v>
      </c>
      <c r="D84" s="39">
        <v>38414.001349999999</v>
      </c>
      <c r="E84" s="39">
        <v>42599.162651111925</v>
      </c>
      <c r="F84" s="39">
        <v>2548.6946699999999</v>
      </c>
      <c r="G84" s="39">
        <v>2301.9634746704096</v>
      </c>
      <c r="H84" s="40">
        <v>0.108948850784375</v>
      </c>
      <c r="I84" s="40">
        <v>-9.6806886377484469E-2</v>
      </c>
      <c r="J84" s="40">
        <v>9.61467502983544E-2</v>
      </c>
    </row>
    <row r="85" spans="1:10" ht="11.25" customHeight="1" x14ac:dyDescent="0.2">
      <c r="A85" s="49">
        <v>44621</v>
      </c>
      <c r="B85" s="39">
        <v>0</v>
      </c>
      <c r="C85" s="39">
        <v>0</v>
      </c>
      <c r="D85" s="39">
        <v>37211.307200000003</v>
      </c>
      <c r="E85" s="39">
        <v>41265.436355624333</v>
      </c>
      <c r="F85" s="39">
        <v>2468.8982400000004</v>
      </c>
      <c r="G85" s="39">
        <v>2229.8918886027486</v>
      </c>
      <c r="H85" s="40">
        <v>0.10894885078437477</v>
      </c>
      <c r="I85" s="40">
        <v>-9.680688637748458E-2</v>
      </c>
      <c r="J85" s="40">
        <v>9.6146750298354178E-2</v>
      </c>
    </row>
    <row r="86" spans="1:10" ht="11.25" customHeight="1" x14ac:dyDescent="0.2">
      <c r="A86" s="49">
        <v>44652</v>
      </c>
      <c r="B86" s="39">
        <v>0</v>
      </c>
      <c r="C86" s="39">
        <v>0</v>
      </c>
      <c r="D86" s="39">
        <v>30433.391100000001</v>
      </c>
      <c r="E86" s="39">
        <v>33749.074085816421</v>
      </c>
      <c r="F86" s="39">
        <v>2019.1966199999999</v>
      </c>
      <c r="G86" s="39">
        <v>1823.7244822338594</v>
      </c>
      <c r="H86" s="40">
        <v>0.10894885078437477</v>
      </c>
      <c r="I86" s="40">
        <v>-9.6806886377484469E-2</v>
      </c>
      <c r="J86" s="40">
        <v>9.61467502983544E-2</v>
      </c>
    </row>
    <row r="87" spans="1:10" ht="11.25" customHeight="1" x14ac:dyDescent="0.2">
      <c r="A87" s="49">
        <v>44682</v>
      </c>
      <c r="B87" s="39">
        <v>0</v>
      </c>
      <c r="C87" s="39">
        <v>0</v>
      </c>
      <c r="D87" s="39">
        <v>28177.405800000004</v>
      </c>
      <c r="E87" s="39">
        <v>31247.301779994981</v>
      </c>
      <c r="F87" s="39">
        <v>1869.5163600000003</v>
      </c>
      <c r="G87" s="39">
        <v>1688.5343021566318</v>
      </c>
      <c r="H87" s="40">
        <v>0.10894885078437477</v>
      </c>
      <c r="I87" s="40">
        <v>-9.6806886377484469E-2</v>
      </c>
      <c r="J87" s="40">
        <v>9.6146750298354178E-2</v>
      </c>
    </row>
    <row r="88" spans="1:10" ht="11.25" customHeight="1" x14ac:dyDescent="0.2">
      <c r="A88" s="49">
        <v>44713</v>
      </c>
      <c r="B88" s="39">
        <v>0</v>
      </c>
      <c r="C88" s="39">
        <v>0</v>
      </c>
      <c r="D88" s="39">
        <v>26369.629500000003</v>
      </c>
      <c r="E88" s="39">
        <v>29242.570329634749</v>
      </c>
      <c r="F88" s="39">
        <v>1749.5739000000001</v>
      </c>
      <c r="G88" s="39">
        <v>1580.2030982536876</v>
      </c>
      <c r="H88" s="40">
        <v>0.10894885078437477</v>
      </c>
      <c r="I88" s="40">
        <v>-9.680688637748458E-2</v>
      </c>
      <c r="J88" s="40">
        <v>9.61467502983544E-2</v>
      </c>
    </row>
    <row r="89" spans="1:10" ht="11.25" customHeight="1" x14ac:dyDescent="0.2">
      <c r="A89" s="49">
        <v>44743</v>
      </c>
      <c r="B89" s="39">
        <v>0</v>
      </c>
      <c r="C89" s="39">
        <v>0</v>
      </c>
      <c r="D89" s="39">
        <v>30179.405999999999</v>
      </c>
      <c r="E89" s="39">
        <v>33467.417601055065</v>
      </c>
      <c r="F89" s="39">
        <v>2002.3452</v>
      </c>
      <c r="G89" s="39">
        <v>1808.5043957350986</v>
      </c>
      <c r="H89" s="40">
        <v>0.10894885078437477</v>
      </c>
      <c r="I89" s="40">
        <v>-9.6806886377484469E-2</v>
      </c>
      <c r="J89" s="40">
        <v>9.61467502983544E-2</v>
      </c>
    </row>
    <row r="90" spans="1:10" ht="11.25" customHeight="1" x14ac:dyDescent="0.2">
      <c r="A90" s="49">
        <v>44774</v>
      </c>
      <c r="B90" s="39">
        <v>0</v>
      </c>
      <c r="C90" s="39">
        <v>0</v>
      </c>
      <c r="D90" s="39">
        <v>30864.169750000001</v>
      </c>
      <c r="E90" s="39">
        <v>34226.785574676367</v>
      </c>
      <c r="F90" s="39">
        <v>2047.7779499999999</v>
      </c>
      <c r="G90" s="39">
        <v>1849.538942668032</v>
      </c>
      <c r="H90" s="40">
        <v>0.10894885078437477</v>
      </c>
      <c r="I90" s="40">
        <v>-9.6806886377484469E-2</v>
      </c>
      <c r="J90" s="40">
        <v>9.61467502983544E-2</v>
      </c>
    </row>
    <row r="91" spans="1:10" ht="11.25" customHeight="1" x14ac:dyDescent="0.2">
      <c r="A91" s="44" t="s">
        <v>47</v>
      </c>
      <c r="B91" s="39">
        <v>18075.419999999998</v>
      </c>
      <c r="C91" s="39">
        <v>19937.625569292679</v>
      </c>
      <c r="D91" s="39">
        <v>35714.783291399996</v>
      </c>
      <c r="E91" s="39">
        <v>41937.256012872589</v>
      </c>
      <c r="F91" s="39">
        <v>19082.4786198</v>
      </c>
      <c r="G91" s="39">
        <v>17235.163280252236</v>
      </c>
      <c r="H91" s="40">
        <v>0.1503001995915092</v>
      </c>
      <c r="I91" s="40">
        <v>-9.6806886377484913E-2</v>
      </c>
      <c r="J91" s="40">
        <v>8.5592608747653065E-2</v>
      </c>
    </row>
    <row r="92" spans="1:10" ht="11.25" customHeight="1" x14ac:dyDescent="0.2">
      <c r="A92" s="45" t="s">
        <v>48</v>
      </c>
      <c r="B92" s="39">
        <v>18075.419999999998</v>
      </c>
      <c r="C92" s="39">
        <v>19937.625569292679</v>
      </c>
      <c r="D92" s="39">
        <v>35714.783291399996</v>
      </c>
      <c r="E92" s="39">
        <v>41937.256012872589</v>
      </c>
      <c r="F92" s="39">
        <v>19082.4786198</v>
      </c>
      <c r="G92" s="39">
        <v>17235.163280252236</v>
      </c>
      <c r="H92" s="40">
        <v>0.1503001995915092</v>
      </c>
      <c r="I92" s="40">
        <v>-9.6806886377484913E-2</v>
      </c>
      <c r="J92" s="40">
        <v>8.5592608747653065E-2</v>
      </c>
    </row>
    <row r="93" spans="1:10" ht="11.25" customHeight="1" x14ac:dyDescent="0.2">
      <c r="A93" s="46" t="s">
        <v>25</v>
      </c>
      <c r="B93" s="39">
        <v>18075.419999999998</v>
      </c>
      <c r="C93" s="39">
        <v>19937.625569292679</v>
      </c>
      <c r="D93" s="39">
        <v>35714.783291399996</v>
      </c>
      <c r="E93" s="39">
        <v>41937.256012872589</v>
      </c>
      <c r="F93" s="39">
        <v>19082.4786198</v>
      </c>
      <c r="G93" s="39">
        <v>17235.163280252236</v>
      </c>
      <c r="H93" s="40">
        <v>0.1503001995915092</v>
      </c>
      <c r="I93" s="40">
        <v>-9.6806886377484913E-2</v>
      </c>
      <c r="J93" s="40">
        <v>8.5592608747653065E-2</v>
      </c>
    </row>
    <row r="94" spans="1:10" ht="11.25" customHeight="1" x14ac:dyDescent="0.2">
      <c r="A94" s="47" t="s">
        <v>25</v>
      </c>
      <c r="B94" s="39">
        <v>18075.419999999998</v>
      </c>
      <c r="C94" s="39">
        <v>19937.625569292679</v>
      </c>
      <c r="D94" s="39">
        <v>35714.783291399996</v>
      </c>
      <c r="E94" s="39">
        <v>41937.256012872589</v>
      </c>
      <c r="F94" s="39">
        <v>19082.4786198</v>
      </c>
      <c r="G94" s="39">
        <v>17235.163280252236</v>
      </c>
      <c r="H94" s="40">
        <v>0.1503001995915092</v>
      </c>
      <c r="I94" s="40">
        <v>-9.6806886377484913E-2</v>
      </c>
      <c r="J94" s="40">
        <v>8.5592608747653065E-2</v>
      </c>
    </row>
    <row r="95" spans="1:10" ht="11.25" customHeight="1" x14ac:dyDescent="0.2">
      <c r="A95" s="48" t="s">
        <v>38</v>
      </c>
      <c r="B95" s="39">
        <v>0</v>
      </c>
      <c r="C95" s="39">
        <v>0</v>
      </c>
      <c r="D95" s="39">
        <v>7020.7917183999989</v>
      </c>
      <c r="E95" s="39">
        <v>10117.087033577711</v>
      </c>
      <c r="F95" s="39">
        <v>17178.687793199999</v>
      </c>
      <c r="G95" s="39">
        <v>15515.67251588941</v>
      </c>
      <c r="H95" s="40">
        <v>0.44101797053215264</v>
      </c>
      <c r="I95" s="40">
        <v>-9.6806886377484358E-2</v>
      </c>
      <c r="J95" s="40">
        <v>5.9227721702860503E-2</v>
      </c>
    </row>
    <row r="96" spans="1:10" ht="11.25" customHeight="1" x14ac:dyDescent="0.2">
      <c r="A96" s="49">
        <v>44440</v>
      </c>
      <c r="B96" s="39">
        <v>0</v>
      </c>
      <c r="C96" s="39">
        <v>0</v>
      </c>
      <c r="D96" s="39">
        <v>541.26192639999999</v>
      </c>
      <c r="E96" s="39">
        <v>779.96816270725117</v>
      </c>
      <c r="F96" s="39">
        <v>1324.3762272000001</v>
      </c>
      <c r="G96" s="39">
        <v>1196.167488252408</v>
      </c>
      <c r="H96" s="40">
        <v>0.44101797053215219</v>
      </c>
      <c r="I96" s="40">
        <v>-9.680688637748458E-2</v>
      </c>
      <c r="J96" s="40">
        <v>5.9227721702860281E-2</v>
      </c>
    </row>
    <row r="97" spans="1:10" ht="11.25" customHeight="1" x14ac:dyDescent="0.2">
      <c r="A97" s="49">
        <v>44470</v>
      </c>
      <c r="B97" s="39">
        <v>0</v>
      </c>
      <c r="C97" s="39">
        <v>0</v>
      </c>
      <c r="D97" s="39">
        <v>616.72632959999987</v>
      </c>
      <c r="E97" s="39">
        <v>888.71372385393511</v>
      </c>
      <c r="F97" s="39">
        <v>1509.0248357999999</v>
      </c>
      <c r="G97" s="39">
        <v>1362.9408399799072</v>
      </c>
      <c r="H97" s="40">
        <v>0.44101797053215241</v>
      </c>
      <c r="I97" s="40">
        <v>-9.6806886377484469E-2</v>
      </c>
      <c r="J97" s="40">
        <v>5.9227721702860281E-2</v>
      </c>
    </row>
    <row r="98" spans="1:10" ht="11.25" customHeight="1" x14ac:dyDescent="0.2">
      <c r="A98" s="49">
        <v>44501</v>
      </c>
      <c r="B98" s="39">
        <v>0</v>
      </c>
      <c r="C98" s="39">
        <v>0</v>
      </c>
      <c r="D98" s="39">
        <v>684.38407039999981</v>
      </c>
      <c r="E98" s="39">
        <v>986.20974419234142</v>
      </c>
      <c r="F98" s="39">
        <v>1674.5718641999999</v>
      </c>
      <c r="G98" s="39">
        <v>1512.4617760114579</v>
      </c>
      <c r="H98" s="40">
        <v>0.44101797053215241</v>
      </c>
      <c r="I98" s="40">
        <v>-9.680688637748458E-2</v>
      </c>
      <c r="J98" s="40">
        <v>5.9227721702860503E-2</v>
      </c>
    </row>
    <row r="99" spans="1:10" ht="11.25" customHeight="1" x14ac:dyDescent="0.2">
      <c r="A99" s="49">
        <v>44531</v>
      </c>
      <c r="B99" s="39">
        <v>0</v>
      </c>
      <c r="C99" s="39">
        <v>0</v>
      </c>
      <c r="D99" s="39">
        <v>593.30634239999995</v>
      </c>
      <c r="E99" s="39">
        <v>854.96510142910211</v>
      </c>
      <c r="F99" s="39">
        <v>1451.7200952000001</v>
      </c>
      <c r="G99" s="39">
        <v>1311.1835928920627</v>
      </c>
      <c r="H99" s="40">
        <v>0.44101797053215219</v>
      </c>
      <c r="I99" s="40">
        <v>-9.6806886377484469E-2</v>
      </c>
      <c r="J99" s="40">
        <v>5.9227721702860503E-2</v>
      </c>
    </row>
    <row r="100" spans="1:10" ht="11.25" customHeight="1" x14ac:dyDescent="0.2">
      <c r="A100" s="49">
        <v>44562</v>
      </c>
      <c r="B100" s="39">
        <v>0</v>
      </c>
      <c r="C100" s="39">
        <v>0</v>
      </c>
      <c r="D100" s="39">
        <v>632.33965439999986</v>
      </c>
      <c r="E100" s="39">
        <v>911.21280547049037</v>
      </c>
      <c r="F100" s="39">
        <v>1547.2279962</v>
      </c>
      <c r="G100" s="39">
        <v>1397.4456713718034</v>
      </c>
      <c r="H100" s="40">
        <v>0.44101797053215219</v>
      </c>
      <c r="I100" s="40">
        <v>-9.680688637748458E-2</v>
      </c>
      <c r="J100" s="40">
        <v>5.9227721702860281E-2</v>
      </c>
    </row>
    <row r="101" spans="1:10" ht="11.25" customHeight="1" x14ac:dyDescent="0.2">
      <c r="A101" s="49">
        <v>44593</v>
      </c>
      <c r="B101" s="39">
        <v>0</v>
      </c>
      <c r="C101" s="39">
        <v>0</v>
      </c>
      <c r="D101" s="39">
        <v>585.49968000000001</v>
      </c>
      <c r="E101" s="39">
        <v>843.71556062082448</v>
      </c>
      <c r="F101" s="39">
        <v>1432.6185150000001</v>
      </c>
      <c r="G101" s="39">
        <v>1293.9311771961145</v>
      </c>
      <c r="H101" s="40">
        <v>0.44101797053215197</v>
      </c>
      <c r="I101" s="40">
        <v>-9.6806886377484469E-2</v>
      </c>
      <c r="J101" s="40">
        <v>5.9227721702860503E-2</v>
      </c>
    </row>
    <row r="102" spans="1:10" ht="11.25" customHeight="1" x14ac:dyDescent="0.2">
      <c r="A102" s="49">
        <v>44621</v>
      </c>
      <c r="B102" s="39">
        <v>0</v>
      </c>
      <c r="C102" s="39">
        <v>0</v>
      </c>
      <c r="D102" s="39">
        <v>595.90856319999989</v>
      </c>
      <c r="E102" s="39">
        <v>858.71494836519457</v>
      </c>
      <c r="F102" s="39">
        <v>1458.0872886</v>
      </c>
      <c r="G102" s="39">
        <v>1316.9343981240452</v>
      </c>
      <c r="H102" s="40">
        <v>0.44101797053215219</v>
      </c>
      <c r="I102" s="40">
        <v>-9.680688637748458E-2</v>
      </c>
      <c r="J102" s="40">
        <v>5.9227721702860281E-2</v>
      </c>
    </row>
    <row r="103" spans="1:10" ht="11.25" customHeight="1" x14ac:dyDescent="0.2">
      <c r="A103" s="49">
        <v>44652</v>
      </c>
      <c r="B103" s="39">
        <v>0</v>
      </c>
      <c r="C103" s="39">
        <v>0</v>
      </c>
      <c r="D103" s="39">
        <v>533.45526399999994</v>
      </c>
      <c r="E103" s="39">
        <v>768.71862189897342</v>
      </c>
      <c r="F103" s="39">
        <v>1305.274647</v>
      </c>
      <c r="G103" s="39">
        <v>1178.9150725564598</v>
      </c>
      <c r="H103" s="40">
        <v>0.44101797053215219</v>
      </c>
      <c r="I103" s="40">
        <v>-9.6806886377484469E-2</v>
      </c>
      <c r="J103" s="40">
        <v>5.9227721702860503E-2</v>
      </c>
    </row>
    <row r="104" spans="1:10" ht="11.25" customHeight="1" x14ac:dyDescent="0.2">
      <c r="A104" s="49">
        <v>44682</v>
      </c>
      <c r="B104" s="39">
        <v>0</v>
      </c>
      <c r="C104" s="39">
        <v>0</v>
      </c>
      <c r="D104" s="39">
        <v>510.03527679999996</v>
      </c>
      <c r="E104" s="39">
        <v>734.96999947414042</v>
      </c>
      <c r="F104" s="39">
        <v>1247.9699064000001</v>
      </c>
      <c r="G104" s="39">
        <v>1127.1578254686153</v>
      </c>
      <c r="H104" s="40">
        <v>0.44101797053215219</v>
      </c>
      <c r="I104" s="40">
        <v>-9.6806886377484469E-2</v>
      </c>
      <c r="J104" s="40">
        <v>5.9227721702860281E-2</v>
      </c>
    </row>
    <row r="105" spans="1:10" ht="11.25" customHeight="1" x14ac:dyDescent="0.2">
      <c r="A105" s="49">
        <v>44713</v>
      </c>
      <c r="B105" s="39">
        <v>0</v>
      </c>
      <c r="C105" s="39">
        <v>0</v>
      </c>
      <c r="D105" s="39">
        <v>593.30634239999995</v>
      </c>
      <c r="E105" s="39">
        <v>854.96510142910211</v>
      </c>
      <c r="F105" s="39">
        <v>1451.7200952000001</v>
      </c>
      <c r="G105" s="39">
        <v>1311.1835928920627</v>
      </c>
      <c r="H105" s="40">
        <v>0.44101797053215219</v>
      </c>
      <c r="I105" s="40">
        <v>-9.6806886377484469E-2</v>
      </c>
      <c r="J105" s="40">
        <v>5.9227721702860503E-2</v>
      </c>
    </row>
    <row r="106" spans="1:10" ht="11.25" customHeight="1" x14ac:dyDescent="0.2">
      <c r="A106" s="49">
        <v>44743</v>
      </c>
      <c r="B106" s="39">
        <v>0</v>
      </c>
      <c r="C106" s="39">
        <v>0</v>
      </c>
      <c r="D106" s="39">
        <v>572.48857599999997</v>
      </c>
      <c r="E106" s="39">
        <v>824.96632594036168</v>
      </c>
      <c r="F106" s="39">
        <v>1400.7825479999999</v>
      </c>
      <c r="G106" s="39">
        <v>1265.1771510362007</v>
      </c>
      <c r="H106" s="40">
        <v>0.44101797053215219</v>
      </c>
      <c r="I106" s="40">
        <v>-9.6806886377484469E-2</v>
      </c>
      <c r="J106" s="40">
        <v>5.9227721702860503E-2</v>
      </c>
    </row>
    <row r="107" spans="1:10" ht="11.25" customHeight="1" x14ac:dyDescent="0.2">
      <c r="A107" s="49">
        <v>44774</v>
      </c>
      <c r="B107" s="39">
        <v>0</v>
      </c>
      <c r="C107" s="39">
        <v>0</v>
      </c>
      <c r="D107" s="39">
        <v>562.07969279999998</v>
      </c>
      <c r="E107" s="39">
        <v>809.96693819599159</v>
      </c>
      <c r="F107" s="39">
        <v>1375.3137744000001</v>
      </c>
      <c r="G107" s="39">
        <v>1242.17393010827</v>
      </c>
      <c r="H107" s="40">
        <v>0.44101797053215241</v>
      </c>
      <c r="I107" s="40">
        <v>-9.6806886377484358E-2</v>
      </c>
      <c r="J107" s="40">
        <v>5.9227721702860725E-2</v>
      </c>
    </row>
    <row r="108" spans="1:10" ht="11.25" customHeight="1" x14ac:dyDescent="0.2">
      <c r="A108" s="48" t="s">
        <v>25</v>
      </c>
      <c r="B108" s="39">
        <v>18075.419999999998</v>
      </c>
      <c r="C108" s="39">
        <v>19937.625569292679</v>
      </c>
      <c r="D108" s="39">
        <v>0</v>
      </c>
      <c r="E108" s="39">
        <v>0</v>
      </c>
      <c r="F108" s="39">
        <v>0</v>
      </c>
      <c r="G108" s="39">
        <v>0</v>
      </c>
      <c r="H108" s="40">
        <v>0.10302419358956416</v>
      </c>
      <c r="I108" s="40">
        <v>0</v>
      </c>
      <c r="J108" s="40">
        <v>0.10302419358956416</v>
      </c>
    </row>
    <row r="109" spans="1:10" ht="11.25" customHeight="1" x14ac:dyDescent="0.2">
      <c r="A109" s="49">
        <v>44440</v>
      </c>
      <c r="B109" s="39">
        <v>1506.2849999999999</v>
      </c>
      <c r="C109" s="39">
        <v>1661.4687974410569</v>
      </c>
      <c r="D109" s="39">
        <v>0</v>
      </c>
      <c r="E109" s="39">
        <v>0</v>
      </c>
      <c r="F109" s="39">
        <v>0</v>
      </c>
      <c r="G109" s="39">
        <v>0</v>
      </c>
      <c r="H109" s="40">
        <v>0.10302419358956438</v>
      </c>
      <c r="I109" s="40">
        <v>0</v>
      </c>
      <c r="J109" s="40">
        <v>0.10302419358956438</v>
      </c>
    </row>
    <row r="110" spans="1:10" ht="11.25" customHeight="1" x14ac:dyDescent="0.2">
      <c r="A110" s="49">
        <v>44470</v>
      </c>
      <c r="B110" s="39">
        <v>1506.2849999999999</v>
      </c>
      <c r="C110" s="39">
        <v>1661.4687974410569</v>
      </c>
      <c r="D110" s="39">
        <v>0</v>
      </c>
      <c r="E110" s="39">
        <v>0</v>
      </c>
      <c r="F110" s="39">
        <v>0</v>
      </c>
      <c r="G110" s="39">
        <v>0</v>
      </c>
      <c r="H110" s="40">
        <v>0.10302419358956438</v>
      </c>
      <c r="I110" s="40">
        <v>0</v>
      </c>
      <c r="J110" s="40">
        <v>0.10302419358956438</v>
      </c>
    </row>
    <row r="111" spans="1:10" ht="11.25" customHeight="1" x14ac:dyDescent="0.2">
      <c r="A111" s="49">
        <v>44501</v>
      </c>
      <c r="B111" s="39">
        <v>1506.2849999999999</v>
      </c>
      <c r="C111" s="39">
        <v>1661.4687974410569</v>
      </c>
      <c r="D111" s="39">
        <v>0</v>
      </c>
      <c r="E111" s="39">
        <v>0</v>
      </c>
      <c r="F111" s="39">
        <v>0</v>
      </c>
      <c r="G111" s="39">
        <v>0</v>
      </c>
      <c r="H111" s="40">
        <v>0.10302419358956438</v>
      </c>
      <c r="I111" s="40">
        <v>0</v>
      </c>
      <c r="J111" s="40">
        <v>0.10302419358956438</v>
      </c>
    </row>
    <row r="112" spans="1:10" ht="11.25" customHeight="1" x14ac:dyDescent="0.2">
      <c r="A112" s="49">
        <v>44531</v>
      </c>
      <c r="B112" s="39">
        <v>1506.2849999999999</v>
      </c>
      <c r="C112" s="39">
        <v>1661.4687974410569</v>
      </c>
      <c r="D112" s="39">
        <v>0</v>
      </c>
      <c r="E112" s="39">
        <v>0</v>
      </c>
      <c r="F112" s="39">
        <v>0</v>
      </c>
      <c r="G112" s="39">
        <v>0</v>
      </c>
      <c r="H112" s="40">
        <v>0.10302419358956438</v>
      </c>
      <c r="I112" s="40">
        <v>0</v>
      </c>
      <c r="J112" s="40">
        <v>0.10302419358956438</v>
      </c>
    </row>
    <row r="113" spans="1:10" ht="11.25" customHeight="1" x14ac:dyDescent="0.2">
      <c r="A113" s="49">
        <v>44562</v>
      </c>
      <c r="B113" s="39">
        <v>1506.2849999999999</v>
      </c>
      <c r="C113" s="39">
        <v>1661.4687974410569</v>
      </c>
      <c r="D113" s="39">
        <v>0</v>
      </c>
      <c r="E113" s="39">
        <v>0</v>
      </c>
      <c r="F113" s="39">
        <v>0</v>
      </c>
      <c r="G113" s="39">
        <v>0</v>
      </c>
      <c r="H113" s="40">
        <v>0.10302419358956438</v>
      </c>
      <c r="I113" s="40">
        <v>0</v>
      </c>
      <c r="J113" s="40">
        <v>0.10302419358956438</v>
      </c>
    </row>
    <row r="114" spans="1:10" ht="11.25" customHeight="1" x14ac:dyDescent="0.2">
      <c r="A114" s="49">
        <v>44593</v>
      </c>
      <c r="B114" s="39">
        <v>1506.2849999999999</v>
      </c>
      <c r="C114" s="39">
        <v>1661.4687974410569</v>
      </c>
      <c r="D114" s="39">
        <v>0</v>
      </c>
      <c r="E114" s="39">
        <v>0</v>
      </c>
      <c r="F114" s="39">
        <v>0</v>
      </c>
      <c r="G114" s="39">
        <v>0</v>
      </c>
      <c r="H114" s="40">
        <v>0.10302419358956438</v>
      </c>
      <c r="I114" s="40">
        <v>0</v>
      </c>
      <c r="J114" s="40">
        <v>0.10302419358956438</v>
      </c>
    </row>
    <row r="115" spans="1:10" ht="11.25" customHeight="1" x14ac:dyDescent="0.2">
      <c r="A115" s="49">
        <v>44621</v>
      </c>
      <c r="B115" s="39">
        <v>1506.2849999999999</v>
      </c>
      <c r="C115" s="39">
        <v>1661.4687974410569</v>
      </c>
      <c r="D115" s="39">
        <v>0</v>
      </c>
      <c r="E115" s="39">
        <v>0</v>
      </c>
      <c r="F115" s="39">
        <v>0</v>
      </c>
      <c r="G115" s="39">
        <v>0</v>
      </c>
      <c r="H115" s="40">
        <v>0.10302419358956438</v>
      </c>
      <c r="I115" s="40">
        <v>0</v>
      </c>
      <c r="J115" s="40">
        <v>0.10302419358956438</v>
      </c>
    </row>
    <row r="116" spans="1:10" ht="11.25" customHeight="1" x14ac:dyDescent="0.2">
      <c r="A116" s="49">
        <v>44652</v>
      </c>
      <c r="B116" s="39">
        <v>1506.2849999999999</v>
      </c>
      <c r="C116" s="39">
        <v>1661.4687974410569</v>
      </c>
      <c r="D116" s="39">
        <v>0</v>
      </c>
      <c r="E116" s="39">
        <v>0</v>
      </c>
      <c r="F116" s="39">
        <v>0</v>
      </c>
      <c r="G116" s="39">
        <v>0</v>
      </c>
      <c r="H116" s="40">
        <v>0.10302419358956438</v>
      </c>
      <c r="I116" s="40">
        <v>0</v>
      </c>
      <c r="J116" s="40">
        <v>0.10302419358956438</v>
      </c>
    </row>
    <row r="117" spans="1:10" ht="11.25" customHeight="1" x14ac:dyDescent="0.2">
      <c r="A117" s="49">
        <v>44682</v>
      </c>
      <c r="B117" s="39">
        <v>1506.2849999999999</v>
      </c>
      <c r="C117" s="39">
        <v>1661.4687974410569</v>
      </c>
      <c r="D117" s="39">
        <v>0</v>
      </c>
      <c r="E117" s="39">
        <v>0</v>
      </c>
      <c r="F117" s="39">
        <v>0</v>
      </c>
      <c r="G117" s="39">
        <v>0</v>
      </c>
      <c r="H117" s="40">
        <v>0.10302419358956438</v>
      </c>
      <c r="I117" s="40">
        <v>0</v>
      </c>
      <c r="J117" s="40">
        <v>0.10302419358956438</v>
      </c>
    </row>
    <row r="118" spans="1:10" ht="11.25" customHeight="1" x14ac:dyDescent="0.2">
      <c r="A118" s="49">
        <v>44713</v>
      </c>
      <c r="B118" s="39">
        <v>1506.2849999999999</v>
      </c>
      <c r="C118" s="39">
        <v>1661.4687974410569</v>
      </c>
      <c r="D118" s="39">
        <v>0</v>
      </c>
      <c r="E118" s="39">
        <v>0</v>
      </c>
      <c r="F118" s="39">
        <v>0</v>
      </c>
      <c r="G118" s="39">
        <v>0</v>
      </c>
      <c r="H118" s="40">
        <v>0.10302419358956438</v>
      </c>
      <c r="I118" s="40">
        <v>0</v>
      </c>
      <c r="J118" s="40">
        <v>0.10302419358956438</v>
      </c>
    </row>
    <row r="119" spans="1:10" ht="11.25" customHeight="1" x14ac:dyDescent="0.2">
      <c r="A119" s="49">
        <v>44743</v>
      </c>
      <c r="B119" s="39">
        <v>1506.2849999999999</v>
      </c>
      <c r="C119" s="39">
        <v>1661.4687974410569</v>
      </c>
      <c r="D119" s="39">
        <v>0</v>
      </c>
      <c r="E119" s="39">
        <v>0</v>
      </c>
      <c r="F119" s="39">
        <v>0</v>
      </c>
      <c r="G119" s="39">
        <v>0</v>
      </c>
      <c r="H119" s="40">
        <v>0.10302419358956438</v>
      </c>
      <c r="I119" s="40">
        <v>0</v>
      </c>
      <c r="J119" s="40">
        <v>0.10302419358956438</v>
      </c>
    </row>
    <row r="120" spans="1:10" ht="11.25" customHeight="1" x14ac:dyDescent="0.2">
      <c r="A120" s="49">
        <v>44774</v>
      </c>
      <c r="B120" s="39">
        <v>1506.2849999999999</v>
      </c>
      <c r="C120" s="39">
        <v>1661.4687974410569</v>
      </c>
      <c r="D120" s="39">
        <v>0</v>
      </c>
      <c r="E120" s="39">
        <v>0</v>
      </c>
      <c r="F120" s="39">
        <v>0</v>
      </c>
      <c r="G120" s="39">
        <v>0</v>
      </c>
      <c r="H120" s="40">
        <v>0.10302419358956438</v>
      </c>
      <c r="I120" s="40">
        <v>0</v>
      </c>
      <c r="J120" s="40">
        <v>0.10302419358956438</v>
      </c>
    </row>
    <row r="121" spans="1:10" ht="11.25" customHeight="1" x14ac:dyDescent="0.2">
      <c r="A121" s="48" t="s">
        <v>37</v>
      </c>
      <c r="B121" s="39">
        <v>0</v>
      </c>
      <c r="C121" s="39">
        <v>0</v>
      </c>
      <c r="D121" s="39">
        <v>28693.991572999999</v>
      </c>
      <c r="E121" s="39">
        <v>31820.168979294889</v>
      </c>
      <c r="F121" s="39">
        <v>1903.7908266000002</v>
      </c>
      <c r="G121" s="39">
        <v>1719.4907643628362</v>
      </c>
      <c r="H121" s="40">
        <v>0.108948850784375</v>
      </c>
      <c r="I121" s="40">
        <v>-9.6806886377484691E-2</v>
      </c>
      <c r="J121" s="40">
        <v>9.6146750298354622E-2</v>
      </c>
    </row>
    <row r="122" spans="1:10" ht="11.25" customHeight="1" x14ac:dyDescent="0.2">
      <c r="A122" s="49">
        <v>44440</v>
      </c>
      <c r="B122" s="39">
        <v>0</v>
      </c>
      <c r="C122" s="39">
        <v>0</v>
      </c>
      <c r="D122" s="39">
        <v>2207.2301210000001</v>
      </c>
      <c r="E122" s="39">
        <v>2447.7053060996063</v>
      </c>
      <c r="F122" s="39">
        <v>146.44544819999999</v>
      </c>
      <c r="G122" s="39">
        <v>132.2685203356028</v>
      </c>
      <c r="H122" s="40">
        <v>0.10894885078437477</v>
      </c>
      <c r="I122" s="40">
        <v>-9.6806886377484469E-2</v>
      </c>
      <c r="J122" s="40">
        <v>9.6146750298354178E-2</v>
      </c>
    </row>
    <row r="123" spans="1:10" ht="11.25" customHeight="1" x14ac:dyDescent="0.2">
      <c r="A123" s="49">
        <v>44470</v>
      </c>
      <c r="B123" s="39">
        <v>0</v>
      </c>
      <c r="C123" s="39">
        <v>0</v>
      </c>
      <c r="D123" s="39">
        <v>2495.1297020000002</v>
      </c>
      <c r="E123" s="39">
        <v>2766.9712155908596</v>
      </c>
      <c r="F123" s="39">
        <v>165.54702840000002</v>
      </c>
      <c r="G123" s="39">
        <v>149.520936031551</v>
      </c>
      <c r="H123" s="40">
        <v>0.10894885078437477</v>
      </c>
      <c r="I123" s="40">
        <v>-9.680688637748458E-2</v>
      </c>
      <c r="J123" s="40">
        <v>9.61467502983544E-2</v>
      </c>
    </row>
    <row r="124" spans="1:10" ht="11.25" customHeight="1" x14ac:dyDescent="0.2">
      <c r="A124" s="49">
        <v>44501</v>
      </c>
      <c r="B124" s="39">
        <v>0</v>
      </c>
      <c r="C124" s="39">
        <v>0</v>
      </c>
      <c r="D124" s="39">
        <v>2687.0627559999998</v>
      </c>
      <c r="E124" s="39">
        <v>2979.8151552516947</v>
      </c>
      <c r="F124" s="39">
        <v>178.2814152</v>
      </c>
      <c r="G124" s="39">
        <v>161.02254649551645</v>
      </c>
      <c r="H124" s="40">
        <v>0.10894885078437477</v>
      </c>
      <c r="I124" s="40">
        <v>-9.680688637748458E-2</v>
      </c>
      <c r="J124" s="40">
        <v>9.61467502983544E-2</v>
      </c>
    </row>
    <row r="125" spans="1:10" ht="11.25" customHeight="1" x14ac:dyDescent="0.2">
      <c r="A125" s="49">
        <v>44531</v>
      </c>
      <c r="B125" s="39">
        <v>0</v>
      </c>
      <c r="C125" s="39">
        <v>0</v>
      </c>
      <c r="D125" s="39">
        <v>2591.0962289999998</v>
      </c>
      <c r="E125" s="39">
        <v>2873.3931854212769</v>
      </c>
      <c r="F125" s="39">
        <v>171.91422179999998</v>
      </c>
      <c r="G125" s="39">
        <v>155.27174126353373</v>
      </c>
      <c r="H125" s="40">
        <v>0.10894885078437477</v>
      </c>
      <c r="I125" s="40">
        <v>-9.6806886377484358E-2</v>
      </c>
      <c r="J125" s="40">
        <v>9.6146750298354178E-2</v>
      </c>
    </row>
    <row r="126" spans="1:10" ht="11.25" customHeight="1" x14ac:dyDescent="0.2">
      <c r="A126" s="49">
        <v>44562</v>
      </c>
      <c r="B126" s="39">
        <v>0</v>
      </c>
      <c r="C126" s="39">
        <v>0</v>
      </c>
      <c r="D126" s="39">
        <v>2591.0962289999998</v>
      </c>
      <c r="E126" s="39">
        <v>2873.3931854212769</v>
      </c>
      <c r="F126" s="39">
        <v>171.91422179999998</v>
      </c>
      <c r="G126" s="39">
        <v>155.27174126353373</v>
      </c>
      <c r="H126" s="40">
        <v>0.10894885078437477</v>
      </c>
      <c r="I126" s="40">
        <v>-9.6806886377484358E-2</v>
      </c>
      <c r="J126" s="40">
        <v>9.6146750298354178E-2</v>
      </c>
    </row>
    <row r="127" spans="1:10" ht="11.25" customHeight="1" x14ac:dyDescent="0.2">
      <c r="A127" s="49">
        <v>44593</v>
      </c>
      <c r="B127" s="39">
        <v>0</v>
      </c>
      <c r="C127" s="39">
        <v>0</v>
      </c>
      <c r="D127" s="39">
        <v>2399.1631750000001</v>
      </c>
      <c r="E127" s="39">
        <v>2660.5492457604419</v>
      </c>
      <c r="F127" s="39">
        <v>159.17983500000003</v>
      </c>
      <c r="G127" s="39">
        <v>143.77013079956828</v>
      </c>
      <c r="H127" s="40">
        <v>0.10894885078437477</v>
      </c>
      <c r="I127" s="40">
        <v>-9.680688637748458E-2</v>
      </c>
      <c r="J127" s="40">
        <v>9.6146750298354178E-2</v>
      </c>
    </row>
    <row r="128" spans="1:10" ht="11.25" customHeight="1" x14ac:dyDescent="0.2">
      <c r="A128" s="49">
        <v>44621</v>
      </c>
      <c r="B128" s="39">
        <v>0</v>
      </c>
      <c r="C128" s="39">
        <v>0</v>
      </c>
      <c r="D128" s="39">
        <v>2591.0962290000002</v>
      </c>
      <c r="E128" s="39">
        <v>2873.3931854212774</v>
      </c>
      <c r="F128" s="39">
        <v>171.91422180000001</v>
      </c>
      <c r="G128" s="39">
        <v>155.27174126353376</v>
      </c>
      <c r="H128" s="40">
        <v>0.10894885078437477</v>
      </c>
      <c r="I128" s="40">
        <v>-9.6806886377484358E-2</v>
      </c>
      <c r="J128" s="40">
        <v>9.6146750298354178E-2</v>
      </c>
    </row>
    <row r="129" spans="1:10" ht="11.25" customHeight="1" x14ac:dyDescent="0.2">
      <c r="A129" s="49">
        <v>44652</v>
      </c>
      <c r="B129" s="39">
        <v>0</v>
      </c>
      <c r="C129" s="39">
        <v>0</v>
      </c>
      <c r="D129" s="39">
        <v>2207.2301210000001</v>
      </c>
      <c r="E129" s="39">
        <v>2447.7053060996063</v>
      </c>
      <c r="F129" s="39">
        <v>146.44544820000002</v>
      </c>
      <c r="G129" s="39">
        <v>132.2685203356028</v>
      </c>
      <c r="H129" s="40">
        <v>0.10894885078437477</v>
      </c>
      <c r="I129" s="40">
        <v>-9.6806886377484691E-2</v>
      </c>
      <c r="J129" s="40">
        <v>9.6146750298354178E-2</v>
      </c>
    </row>
    <row r="130" spans="1:10" ht="11.25" customHeight="1" x14ac:dyDescent="0.2">
      <c r="A130" s="49">
        <v>44682</v>
      </c>
      <c r="B130" s="39">
        <v>0</v>
      </c>
      <c r="C130" s="39">
        <v>0</v>
      </c>
      <c r="D130" s="39">
        <v>2111.263594</v>
      </c>
      <c r="E130" s="39">
        <v>2341.283336269189</v>
      </c>
      <c r="F130" s="39">
        <v>140.0782548</v>
      </c>
      <c r="G130" s="39">
        <v>126.51771510362008</v>
      </c>
      <c r="H130" s="40">
        <v>0.10894885078437477</v>
      </c>
      <c r="I130" s="40">
        <v>-9.6806886377484469E-2</v>
      </c>
      <c r="J130" s="40">
        <v>9.6146750298354178E-2</v>
      </c>
    </row>
    <row r="131" spans="1:10" ht="11.25" customHeight="1" x14ac:dyDescent="0.2">
      <c r="A131" s="49">
        <v>44713</v>
      </c>
      <c r="B131" s="39">
        <v>0</v>
      </c>
      <c r="C131" s="39">
        <v>0</v>
      </c>
      <c r="D131" s="39">
        <v>2111.263594</v>
      </c>
      <c r="E131" s="39">
        <v>2341.283336269189</v>
      </c>
      <c r="F131" s="39">
        <v>140.0782548</v>
      </c>
      <c r="G131" s="39">
        <v>126.51771510362008</v>
      </c>
      <c r="H131" s="40">
        <v>0.10894885078437477</v>
      </c>
      <c r="I131" s="40">
        <v>-9.6806886377484469E-2</v>
      </c>
      <c r="J131" s="40">
        <v>9.6146750298354178E-2</v>
      </c>
    </row>
    <row r="132" spans="1:10" ht="11.25" customHeight="1" x14ac:dyDescent="0.2">
      <c r="A132" s="49">
        <v>44743</v>
      </c>
      <c r="B132" s="39">
        <v>0</v>
      </c>
      <c r="C132" s="39">
        <v>0</v>
      </c>
      <c r="D132" s="39">
        <v>2495.1297020000002</v>
      </c>
      <c r="E132" s="39">
        <v>2766.9712155908596</v>
      </c>
      <c r="F132" s="39">
        <v>165.54702840000002</v>
      </c>
      <c r="G132" s="39">
        <v>149.520936031551</v>
      </c>
      <c r="H132" s="40">
        <v>0.10894885078437477</v>
      </c>
      <c r="I132" s="40">
        <v>-9.680688637748458E-2</v>
      </c>
      <c r="J132" s="40">
        <v>9.61467502983544E-2</v>
      </c>
    </row>
    <row r="133" spans="1:10" ht="11.25" customHeight="1" x14ac:dyDescent="0.2">
      <c r="A133" s="49">
        <v>44774</v>
      </c>
      <c r="B133" s="39">
        <v>0</v>
      </c>
      <c r="C133" s="39">
        <v>0</v>
      </c>
      <c r="D133" s="39">
        <v>2207.2301210000001</v>
      </c>
      <c r="E133" s="39">
        <v>2447.7053060996063</v>
      </c>
      <c r="F133" s="39">
        <v>146.44544820000002</v>
      </c>
      <c r="G133" s="39">
        <v>132.2685203356028</v>
      </c>
      <c r="H133" s="40">
        <v>0.10894885078437477</v>
      </c>
      <c r="I133" s="40">
        <v>-9.6806886377484691E-2</v>
      </c>
      <c r="J133" s="40">
        <v>9.6146750298354178E-2</v>
      </c>
    </row>
    <row r="134" spans="1:10" ht="11.25" customHeight="1" x14ac:dyDescent="0.2">
      <c r="A134" s="42" t="s">
        <v>22</v>
      </c>
      <c r="B134" s="39">
        <v>0</v>
      </c>
      <c r="C134" s="39">
        <v>0</v>
      </c>
      <c r="D134" s="39">
        <v>5015686.4196700016</v>
      </c>
      <c r="E134" s="39">
        <v>5762697.0094972281</v>
      </c>
      <c r="F134" s="39">
        <v>1752010.1050499999</v>
      </c>
      <c r="G134" s="39">
        <v>1582404.8180606144</v>
      </c>
      <c r="H134" s="40">
        <v>0.14893486699999348</v>
      </c>
      <c r="I134" s="40">
        <v>-9.6806112305240277E-2</v>
      </c>
      <c r="J134" s="40">
        <v>8.5317847916020151E-2</v>
      </c>
    </row>
    <row r="135" spans="1:10" ht="11.25" customHeight="1" x14ac:dyDescent="0.2">
      <c r="A135" s="43" t="s">
        <v>23</v>
      </c>
      <c r="B135" s="39">
        <v>0</v>
      </c>
      <c r="C135" s="39">
        <v>0</v>
      </c>
      <c r="D135" s="39">
        <v>5015686.4196700016</v>
      </c>
      <c r="E135" s="39">
        <v>5762697.0094972281</v>
      </c>
      <c r="F135" s="39">
        <v>1752010.1050499999</v>
      </c>
      <c r="G135" s="39">
        <v>1582404.8180606144</v>
      </c>
      <c r="H135" s="40">
        <v>0.14893486699999348</v>
      </c>
      <c r="I135" s="40">
        <v>-9.6806112305240277E-2</v>
      </c>
      <c r="J135" s="40">
        <v>8.5317847916020151E-2</v>
      </c>
    </row>
    <row r="136" spans="1:10" ht="11.25" customHeight="1" x14ac:dyDescent="0.2">
      <c r="A136" s="44" t="s">
        <v>24</v>
      </c>
      <c r="B136" s="39">
        <v>0</v>
      </c>
      <c r="C136" s="39">
        <v>0</v>
      </c>
      <c r="D136" s="39">
        <v>5015686.4196700016</v>
      </c>
      <c r="E136" s="39">
        <v>5762697.0094972281</v>
      </c>
      <c r="F136" s="39">
        <v>1752010.1050499999</v>
      </c>
      <c r="G136" s="39">
        <v>1582404.8180606144</v>
      </c>
      <c r="H136" s="40">
        <v>0.14893486699999348</v>
      </c>
      <c r="I136" s="40">
        <v>-9.6806112305240277E-2</v>
      </c>
      <c r="J136" s="40">
        <v>8.5317847916020151E-2</v>
      </c>
    </row>
    <row r="137" spans="1:10" ht="11.25" customHeight="1" x14ac:dyDescent="0.2">
      <c r="A137" s="45" t="s">
        <v>24</v>
      </c>
      <c r="B137" s="39">
        <v>0</v>
      </c>
      <c r="C137" s="39">
        <v>0</v>
      </c>
      <c r="D137" s="39">
        <v>4818708.3596599996</v>
      </c>
      <c r="E137" s="39">
        <v>5549453.9547832049</v>
      </c>
      <c r="F137" s="39">
        <v>1672265.69781</v>
      </c>
      <c r="G137" s="39">
        <v>1510378.8624091428</v>
      </c>
      <c r="H137" s="40">
        <v>0.15164760773668506</v>
      </c>
      <c r="I137" s="40">
        <v>-9.6806886377484802E-2</v>
      </c>
      <c r="J137" s="40">
        <v>8.7638427558909715E-2</v>
      </c>
    </row>
    <row r="138" spans="1:10" ht="11.25" customHeight="1" x14ac:dyDescent="0.2">
      <c r="A138" s="46" t="s">
        <v>25</v>
      </c>
      <c r="B138" s="39">
        <v>0</v>
      </c>
      <c r="C138" s="39">
        <v>0</v>
      </c>
      <c r="D138" s="39">
        <v>4818708.3596599996</v>
      </c>
      <c r="E138" s="39">
        <v>5549453.9547832049</v>
      </c>
      <c r="F138" s="39">
        <v>1672265.69781</v>
      </c>
      <c r="G138" s="39">
        <v>1510378.8624091428</v>
      </c>
      <c r="H138" s="40">
        <v>0.15164760773668506</v>
      </c>
      <c r="I138" s="40">
        <v>-9.6806886377484802E-2</v>
      </c>
      <c r="J138" s="40">
        <v>8.7638427558909715E-2</v>
      </c>
    </row>
    <row r="139" spans="1:10" ht="11.25" customHeight="1" x14ac:dyDescent="0.2">
      <c r="A139" s="47" t="s">
        <v>25</v>
      </c>
      <c r="B139" s="39">
        <v>0</v>
      </c>
      <c r="C139" s="39">
        <v>0</v>
      </c>
      <c r="D139" s="39">
        <v>4818708.3596599996</v>
      </c>
      <c r="E139" s="39">
        <v>5549453.9547832049</v>
      </c>
      <c r="F139" s="39">
        <v>1672265.69781</v>
      </c>
      <c r="G139" s="39">
        <v>1510378.8624091428</v>
      </c>
      <c r="H139" s="40">
        <v>0.15164760773668506</v>
      </c>
      <c r="I139" s="40">
        <v>-9.6806886377484802E-2</v>
      </c>
      <c r="J139" s="40">
        <v>8.7638427558909715E-2</v>
      </c>
    </row>
    <row r="140" spans="1:10" ht="11.25" customHeight="1" x14ac:dyDescent="0.2">
      <c r="A140" s="48" t="s">
        <v>25</v>
      </c>
      <c r="B140" s="39">
        <v>0</v>
      </c>
      <c r="C140" s="39">
        <v>0</v>
      </c>
      <c r="D140" s="39">
        <v>4818708.3596599996</v>
      </c>
      <c r="E140" s="39">
        <v>5549453.9547832049</v>
      </c>
      <c r="F140" s="39">
        <v>1672265.69781</v>
      </c>
      <c r="G140" s="39">
        <v>1510378.8624091428</v>
      </c>
      <c r="H140" s="40">
        <v>0.15164760773668506</v>
      </c>
      <c r="I140" s="40">
        <v>-9.6806886377484802E-2</v>
      </c>
      <c r="J140" s="40">
        <v>8.7638427558909715E-2</v>
      </c>
    </row>
    <row r="141" spans="1:10" ht="11.25" customHeight="1" x14ac:dyDescent="0.2">
      <c r="A141" s="49">
        <v>44440</v>
      </c>
      <c r="B141" s="39">
        <v>0</v>
      </c>
      <c r="C141" s="39">
        <v>0</v>
      </c>
      <c r="D141" s="39">
        <v>394231.95083999995</v>
      </c>
      <c r="E141" s="39">
        <v>454016.2830782524</v>
      </c>
      <c r="F141" s="39">
        <v>136812.71394000002</v>
      </c>
      <c r="G141" s="39">
        <v>123568.30108661515</v>
      </c>
      <c r="H141" s="40">
        <v>0.15164760773668506</v>
      </c>
      <c r="I141" s="40">
        <v>-9.6806886377484469E-2</v>
      </c>
      <c r="J141" s="40">
        <v>8.7638427558909715E-2</v>
      </c>
    </row>
    <row r="142" spans="1:10" ht="11.25" customHeight="1" x14ac:dyDescent="0.2">
      <c r="A142" s="49">
        <v>44470</v>
      </c>
      <c r="B142" s="39">
        <v>0</v>
      </c>
      <c r="C142" s="39">
        <v>0</v>
      </c>
      <c r="D142" s="39">
        <v>339556.45983999997</v>
      </c>
      <c r="E142" s="39">
        <v>391049.38466627378</v>
      </c>
      <c r="F142" s="39">
        <v>117838.34544000002</v>
      </c>
      <c r="G142" s="39">
        <v>106430.78212207917</v>
      </c>
      <c r="H142" s="40">
        <v>0.15164760773668529</v>
      </c>
      <c r="I142" s="40">
        <v>-9.6806886377484469E-2</v>
      </c>
      <c r="J142" s="40">
        <v>8.7638427558909937E-2</v>
      </c>
    </row>
    <row r="143" spans="1:10" ht="11.25" customHeight="1" x14ac:dyDescent="0.2">
      <c r="A143" s="49">
        <v>44501</v>
      </c>
      <c r="B143" s="39">
        <v>0</v>
      </c>
      <c r="C143" s="39">
        <v>0</v>
      </c>
      <c r="D143" s="39">
        <v>386449.32195999997</v>
      </c>
      <c r="E143" s="39">
        <v>445053.43714669795</v>
      </c>
      <c r="F143" s="39">
        <v>134111.86086000002</v>
      </c>
      <c r="G143" s="39">
        <v>121128.90918385297</v>
      </c>
      <c r="H143" s="40">
        <v>0.15164760773668506</v>
      </c>
      <c r="I143" s="40">
        <v>-9.680688637748458E-2</v>
      </c>
      <c r="J143" s="40">
        <v>8.7638427558909715E-2</v>
      </c>
    </row>
    <row r="144" spans="1:10" ht="11.25" customHeight="1" x14ac:dyDescent="0.2">
      <c r="A144" s="49">
        <v>44531</v>
      </c>
      <c r="B144" s="39">
        <v>0</v>
      </c>
      <c r="C144" s="39">
        <v>0</v>
      </c>
      <c r="D144" s="39">
        <v>447630.64892000001</v>
      </c>
      <c r="E144" s="39">
        <v>515512.76597833791</v>
      </c>
      <c r="F144" s="39">
        <v>155343.98922000002</v>
      </c>
      <c r="G144" s="39">
        <v>140305.62130615427</v>
      </c>
      <c r="H144" s="40">
        <v>0.15164760773668484</v>
      </c>
      <c r="I144" s="40">
        <v>-9.6806886377484691E-2</v>
      </c>
      <c r="J144" s="40">
        <v>8.7638427558909493E-2</v>
      </c>
    </row>
    <row r="145" spans="1:10" ht="11.25" customHeight="1" x14ac:dyDescent="0.2">
      <c r="A145" s="49">
        <v>44562</v>
      </c>
      <c r="B145" s="39">
        <v>0</v>
      </c>
      <c r="C145" s="39">
        <v>0</v>
      </c>
      <c r="D145" s="39">
        <v>516947.84127999994</v>
      </c>
      <c r="E145" s="39">
        <v>595341.74473475548</v>
      </c>
      <c r="F145" s="39">
        <v>179399.55648</v>
      </c>
      <c r="G145" s="39">
        <v>162032.44399966954</v>
      </c>
      <c r="H145" s="40">
        <v>0.15164760773668506</v>
      </c>
      <c r="I145" s="40">
        <v>-9.6806886377484358E-2</v>
      </c>
      <c r="J145" s="40">
        <v>8.7638427558909715E-2</v>
      </c>
    </row>
    <row r="146" spans="1:10" ht="11.25" customHeight="1" x14ac:dyDescent="0.2">
      <c r="A146" s="49">
        <v>44593</v>
      </c>
      <c r="B146" s="39">
        <v>0</v>
      </c>
      <c r="C146" s="39">
        <v>0</v>
      </c>
      <c r="D146" s="39">
        <v>420169.12781999999</v>
      </c>
      <c r="E146" s="39">
        <v>483886.77089871239</v>
      </c>
      <c r="F146" s="39">
        <v>145813.85037000003</v>
      </c>
      <c r="G146" s="39">
        <v>131698.06552496788</v>
      </c>
      <c r="H146" s="40">
        <v>0.15164760773668484</v>
      </c>
      <c r="I146" s="40">
        <v>-9.6806886377484691E-2</v>
      </c>
      <c r="J146" s="40">
        <v>8.7638427558909715E-2</v>
      </c>
    </row>
    <row r="147" spans="1:10" ht="11.25" customHeight="1" x14ac:dyDescent="0.2">
      <c r="A147" s="49">
        <v>44621</v>
      </c>
      <c r="B147" s="39">
        <v>0</v>
      </c>
      <c r="C147" s="39">
        <v>0</v>
      </c>
      <c r="D147" s="39">
        <v>431821.17238</v>
      </c>
      <c r="E147" s="39">
        <v>497305.82014147768</v>
      </c>
      <c r="F147" s="39">
        <v>149857.53033000001</v>
      </c>
      <c r="G147" s="39">
        <v>135350.28941853327</v>
      </c>
      <c r="H147" s="40">
        <v>0.15164760773668506</v>
      </c>
      <c r="I147" s="40">
        <v>-9.6806886377484469E-2</v>
      </c>
      <c r="J147" s="40">
        <v>8.7638427558909715E-2</v>
      </c>
    </row>
    <row r="148" spans="1:10" ht="11.25" customHeight="1" x14ac:dyDescent="0.2">
      <c r="A148" s="49">
        <v>44652</v>
      </c>
      <c r="B148" s="39">
        <v>0</v>
      </c>
      <c r="C148" s="39">
        <v>0</v>
      </c>
      <c r="D148" s="39">
        <v>380739.45832000003</v>
      </c>
      <c r="E148" s="39">
        <v>438477.68634518929</v>
      </c>
      <c r="F148" s="39">
        <v>132130.33212000001</v>
      </c>
      <c r="G148" s="39">
        <v>119339.20607143988</v>
      </c>
      <c r="H148" s="40">
        <v>0.15164760773668484</v>
      </c>
      <c r="I148" s="40">
        <v>-9.6806886377484469E-2</v>
      </c>
      <c r="J148" s="40">
        <v>8.7638427558909715E-2</v>
      </c>
    </row>
    <row r="149" spans="1:10" ht="11.25" customHeight="1" x14ac:dyDescent="0.2">
      <c r="A149" s="49">
        <v>44682</v>
      </c>
      <c r="B149" s="39">
        <v>0</v>
      </c>
      <c r="C149" s="39">
        <v>0</v>
      </c>
      <c r="D149" s="39">
        <v>360515.47739999997</v>
      </c>
      <c r="E149" s="39">
        <v>415186.78709975892</v>
      </c>
      <c r="F149" s="39">
        <v>125111.8809</v>
      </c>
      <c r="G149" s="39">
        <v>113000.18926124033</v>
      </c>
      <c r="H149" s="40">
        <v>0.15164760773668506</v>
      </c>
      <c r="I149" s="40">
        <v>-9.6806886377484469E-2</v>
      </c>
      <c r="J149" s="40">
        <v>8.7638427558909937E-2</v>
      </c>
    </row>
    <row r="150" spans="1:10" ht="11.25" customHeight="1" x14ac:dyDescent="0.2">
      <c r="A150" s="49">
        <v>44713</v>
      </c>
      <c r="B150" s="39">
        <v>0</v>
      </c>
      <c r="C150" s="39">
        <v>0</v>
      </c>
      <c r="D150" s="39">
        <v>407704.92489999998</v>
      </c>
      <c r="E150" s="39">
        <v>469532.4014235498</v>
      </c>
      <c r="F150" s="39">
        <v>141488.32215000002</v>
      </c>
      <c r="G150" s="39">
        <v>127791.27822388403</v>
      </c>
      <c r="H150" s="40">
        <v>0.15164760773668506</v>
      </c>
      <c r="I150" s="40">
        <v>-9.680688637748458E-2</v>
      </c>
      <c r="J150" s="40">
        <v>8.7638427558909715E-2</v>
      </c>
    </row>
    <row r="151" spans="1:10" ht="11.25" customHeight="1" x14ac:dyDescent="0.2">
      <c r="A151" s="49">
        <v>44743</v>
      </c>
      <c r="B151" s="39">
        <v>0</v>
      </c>
      <c r="C151" s="39">
        <v>0</v>
      </c>
      <c r="D151" s="39">
        <v>347565.69328000001</v>
      </c>
      <c r="E151" s="39">
        <v>400273.19919725438</v>
      </c>
      <c r="F151" s="39">
        <v>120617.83848000001</v>
      </c>
      <c r="G151" s="39">
        <v>108941.20109516886</v>
      </c>
      <c r="H151" s="40">
        <v>0.15164760773668484</v>
      </c>
      <c r="I151" s="40">
        <v>-9.680688637748458E-2</v>
      </c>
      <c r="J151" s="40">
        <v>8.7638427558909493E-2</v>
      </c>
    </row>
    <row r="152" spans="1:10" ht="11.25" customHeight="1" x14ac:dyDescent="0.2">
      <c r="A152" s="49">
        <v>44774</v>
      </c>
      <c r="B152" s="39">
        <v>0</v>
      </c>
      <c r="C152" s="39">
        <v>0</v>
      </c>
      <c r="D152" s="39">
        <v>385376.28272000002</v>
      </c>
      <c r="E152" s="39">
        <v>443817.67407294438</v>
      </c>
      <c r="F152" s="39">
        <v>133739.47751999999</v>
      </c>
      <c r="G152" s="39">
        <v>120792.57511553723</v>
      </c>
      <c r="H152" s="40">
        <v>0.15164760773668506</v>
      </c>
      <c r="I152" s="40">
        <v>-9.6806886377484358E-2</v>
      </c>
      <c r="J152" s="40">
        <v>8.7638427558909715E-2</v>
      </c>
    </row>
    <row r="153" spans="1:10" ht="11.25" customHeight="1" x14ac:dyDescent="0.2">
      <c r="A153" s="45" t="s">
        <v>29</v>
      </c>
      <c r="B153" s="39">
        <v>0</v>
      </c>
      <c r="C153" s="39">
        <v>0</v>
      </c>
      <c r="D153" s="39">
        <v>15871.555260000001</v>
      </c>
      <c r="E153" s="39">
        <v>17181.888976656803</v>
      </c>
      <c r="F153" s="39">
        <v>6425.0740400000004</v>
      </c>
      <c r="G153" s="39">
        <v>5803.4339036308966</v>
      </c>
      <c r="H153" s="40">
        <v>8.2558621079759309E-2</v>
      </c>
      <c r="I153" s="40">
        <v>-9.6752213670848852E-2</v>
      </c>
      <c r="J153" s="40">
        <v>3.0887788957755014E-2</v>
      </c>
    </row>
    <row r="154" spans="1:10" ht="11.25" customHeight="1" x14ac:dyDescent="0.2">
      <c r="A154" s="46" t="s">
        <v>25</v>
      </c>
      <c r="B154" s="39">
        <v>0</v>
      </c>
      <c r="C154" s="39">
        <v>0</v>
      </c>
      <c r="D154" s="39">
        <v>15871.555260000001</v>
      </c>
      <c r="E154" s="39">
        <v>17181.888976656803</v>
      </c>
      <c r="F154" s="39">
        <v>6425.0740400000004</v>
      </c>
      <c r="G154" s="39">
        <v>5803.4339036308966</v>
      </c>
      <c r="H154" s="40">
        <v>8.2558621079759309E-2</v>
      </c>
      <c r="I154" s="40">
        <v>-9.6752213670848852E-2</v>
      </c>
      <c r="J154" s="40">
        <v>3.0887788957755014E-2</v>
      </c>
    </row>
    <row r="155" spans="1:10" ht="11.25" customHeight="1" x14ac:dyDescent="0.2">
      <c r="A155" s="47" t="s">
        <v>25</v>
      </c>
      <c r="B155" s="39">
        <v>0</v>
      </c>
      <c r="C155" s="39">
        <v>0</v>
      </c>
      <c r="D155" s="39">
        <v>15871.555260000001</v>
      </c>
      <c r="E155" s="39">
        <v>17181.888976656803</v>
      </c>
      <c r="F155" s="39">
        <v>6425.0740400000004</v>
      </c>
      <c r="G155" s="39">
        <v>5803.4339036308966</v>
      </c>
      <c r="H155" s="40">
        <v>8.2558621079759309E-2</v>
      </c>
      <c r="I155" s="40">
        <v>-9.6752213670848852E-2</v>
      </c>
      <c r="J155" s="40">
        <v>3.0887788957755014E-2</v>
      </c>
    </row>
    <row r="156" spans="1:10" ht="11.25" customHeight="1" x14ac:dyDescent="0.2">
      <c r="A156" s="48" t="s">
        <v>25</v>
      </c>
      <c r="B156" s="39">
        <v>0</v>
      </c>
      <c r="C156" s="39">
        <v>0</v>
      </c>
      <c r="D156" s="39">
        <v>15871.555260000001</v>
      </c>
      <c r="E156" s="39">
        <v>17181.888976656803</v>
      </c>
      <c r="F156" s="39">
        <v>6425.0740400000004</v>
      </c>
      <c r="G156" s="39">
        <v>5803.4339036308966</v>
      </c>
      <c r="H156" s="40">
        <v>8.2558621079759309E-2</v>
      </c>
      <c r="I156" s="40">
        <v>-9.6752213670848852E-2</v>
      </c>
      <c r="J156" s="40">
        <v>3.0887788957755014E-2</v>
      </c>
    </row>
    <row r="157" spans="1:10" ht="11.25" customHeight="1" x14ac:dyDescent="0.2">
      <c r="A157" s="49">
        <v>44440</v>
      </c>
      <c r="B157" s="39">
        <v>0</v>
      </c>
      <c r="C157" s="39">
        <v>0</v>
      </c>
      <c r="D157" s="39">
        <v>844.12530000000004</v>
      </c>
      <c r="E157" s="39">
        <v>913.81512078653816</v>
      </c>
      <c r="F157" s="39">
        <v>341.71620000000001</v>
      </c>
      <c r="G157" s="39">
        <v>308.65440120280954</v>
      </c>
      <c r="H157" s="40">
        <v>8.2558621079759309E-2</v>
      </c>
      <c r="I157" s="40">
        <v>-9.6752213670848741E-2</v>
      </c>
      <c r="J157" s="40">
        <v>3.0887788957755014E-2</v>
      </c>
    </row>
    <row r="158" spans="1:10" ht="11.25" customHeight="1" x14ac:dyDescent="0.2">
      <c r="A158" s="49">
        <v>44470</v>
      </c>
      <c r="B158" s="39">
        <v>0</v>
      </c>
      <c r="C158" s="39">
        <v>0</v>
      </c>
      <c r="D158" s="39">
        <v>852.69510000000002</v>
      </c>
      <c r="E158" s="39">
        <v>923.0924316574675</v>
      </c>
      <c r="F158" s="39">
        <v>345.18540000000002</v>
      </c>
      <c r="G158" s="39">
        <v>311.78794842314261</v>
      </c>
      <c r="H158" s="40">
        <v>8.2558621079759309E-2</v>
      </c>
      <c r="I158" s="40">
        <v>-9.6752213670848741E-2</v>
      </c>
      <c r="J158" s="40">
        <v>3.0887788957755014E-2</v>
      </c>
    </row>
    <row r="159" spans="1:10" ht="11.25" customHeight="1" x14ac:dyDescent="0.2">
      <c r="A159" s="49">
        <v>44501</v>
      </c>
      <c r="B159" s="39">
        <v>0</v>
      </c>
      <c r="C159" s="39">
        <v>0</v>
      </c>
      <c r="D159" s="39">
        <v>852.69510000000002</v>
      </c>
      <c r="E159" s="39">
        <v>923.0924316574675</v>
      </c>
      <c r="F159" s="39">
        <v>345.18540000000002</v>
      </c>
      <c r="G159" s="39">
        <v>311.78794842314261</v>
      </c>
      <c r="H159" s="40">
        <v>8.2558621079759309E-2</v>
      </c>
      <c r="I159" s="40">
        <v>-9.6752213670848741E-2</v>
      </c>
      <c r="J159" s="40">
        <v>3.0887788957755014E-2</v>
      </c>
    </row>
    <row r="160" spans="1:10" ht="11.25" customHeight="1" x14ac:dyDescent="0.2">
      <c r="A160" s="49">
        <v>44531</v>
      </c>
      <c r="B160" s="39">
        <v>0</v>
      </c>
      <c r="C160" s="39">
        <v>0</v>
      </c>
      <c r="D160" s="39">
        <v>899.82900000000006</v>
      </c>
      <c r="E160" s="39">
        <v>974.11764144757876</v>
      </c>
      <c r="F160" s="39">
        <v>364.26600000000002</v>
      </c>
      <c r="G160" s="39">
        <v>329.02245813497461</v>
      </c>
      <c r="H160" s="40">
        <v>8.2558621079759309E-2</v>
      </c>
      <c r="I160" s="40">
        <v>-9.6752213670848741E-2</v>
      </c>
      <c r="J160" s="40">
        <v>3.0887788957755014E-2</v>
      </c>
    </row>
    <row r="161" spans="1:10" ht="11.25" customHeight="1" x14ac:dyDescent="0.2">
      <c r="A161" s="49">
        <v>44562</v>
      </c>
      <c r="B161" s="39">
        <v>0</v>
      </c>
      <c r="C161" s="39">
        <v>0</v>
      </c>
      <c r="D161" s="39">
        <v>912.68370000000004</v>
      </c>
      <c r="E161" s="39">
        <v>988.03360775397266</v>
      </c>
      <c r="F161" s="39">
        <v>369.46979999999996</v>
      </c>
      <c r="G161" s="39">
        <v>333.72277896547422</v>
      </c>
      <c r="H161" s="40">
        <v>8.2558621079759087E-2</v>
      </c>
      <c r="I161" s="40">
        <v>-9.6752213670848741E-2</v>
      </c>
      <c r="J161" s="40">
        <v>3.0887788957755014E-2</v>
      </c>
    </row>
    <row r="162" spans="1:10" ht="11.25" customHeight="1" x14ac:dyDescent="0.2">
      <c r="A162" s="49">
        <v>44593</v>
      </c>
      <c r="B162" s="39">
        <v>0</v>
      </c>
      <c r="C162" s="39">
        <v>0</v>
      </c>
      <c r="D162" s="39">
        <v>1739.5265700000002</v>
      </c>
      <c r="E162" s="39">
        <v>1883.1394849508035</v>
      </c>
      <c r="F162" s="39">
        <v>704.18978000000004</v>
      </c>
      <c r="G162" s="39">
        <v>636.05785994061205</v>
      </c>
      <c r="H162" s="40">
        <v>8.2558621079759309E-2</v>
      </c>
      <c r="I162" s="40">
        <v>-9.6752213670848741E-2</v>
      </c>
      <c r="J162" s="40">
        <v>3.0887788957755014E-2</v>
      </c>
    </row>
    <row r="163" spans="1:10" ht="11.25" customHeight="1" x14ac:dyDescent="0.2">
      <c r="A163" s="49">
        <v>44621</v>
      </c>
      <c r="B163" s="39">
        <v>0</v>
      </c>
      <c r="C163" s="39">
        <v>0</v>
      </c>
      <c r="D163" s="39">
        <v>1864.3599900000004</v>
      </c>
      <c r="E163" s="39">
        <v>2018.2789799706741</v>
      </c>
      <c r="F163" s="39">
        <v>754.72446000000002</v>
      </c>
      <c r="G163" s="39">
        <v>681.70319778346413</v>
      </c>
      <c r="H163" s="40">
        <v>8.2558621079759309E-2</v>
      </c>
      <c r="I163" s="40">
        <v>-9.675221367084863E-2</v>
      </c>
      <c r="J163" s="40">
        <v>3.0887788957755014E-2</v>
      </c>
    </row>
    <row r="164" spans="1:10" ht="11.25" customHeight="1" x14ac:dyDescent="0.2">
      <c r="A164" s="49">
        <v>44652</v>
      </c>
      <c r="B164" s="39">
        <v>0</v>
      </c>
      <c r="C164" s="39">
        <v>0</v>
      </c>
      <c r="D164" s="39">
        <v>1876.7862000000002</v>
      </c>
      <c r="E164" s="39">
        <v>2031.7310807335216</v>
      </c>
      <c r="F164" s="39">
        <v>759.75480000000005</v>
      </c>
      <c r="G164" s="39">
        <v>686.24684125294709</v>
      </c>
      <c r="H164" s="40">
        <v>8.2558621079759309E-2</v>
      </c>
      <c r="I164" s="40">
        <v>-9.6752213670848741E-2</v>
      </c>
      <c r="J164" s="40">
        <v>3.0887788957755014E-2</v>
      </c>
    </row>
    <row r="165" spans="1:10" ht="11.25" customHeight="1" x14ac:dyDescent="0.2">
      <c r="A165" s="49">
        <v>44682</v>
      </c>
      <c r="B165" s="39">
        <v>0</v>
      </c>
      <c r="C165" s="39">
        <v>0</v>
      </c>
      <c r="D165" s="39">
        <v>1778.2335</v>
      </c>
      <c r="E165" s="39">
        <v>1925.0420057178342</v>
      </c>
      <c r="F165" s="39">
        <v>719.85899999999992</v>
      </c>
      <c r="G165" s="39">
        <v>650.21104821911649</v>
      </c>
      <c r="H165" s="40">
        <v>8.2558621079759309E-2</v>
      </c>
      <c r="I165" s="40">
        <v>-9.675221367084863E-2</v>
      </c>
      <c r="J165" s="40">
        <v>3.0887788957755236E-2</v>
      </c>
    </row>
    <row r="166" spans="1:10" ht="11.25" customHeight="1" x14ac:dyDescent="0.2">
      <c r="A166" s="49">
        <v>44713</v>
      </c>
      <c r="B166" s="39">
        <v>0</v>
      </c>
      <c r="C166" s="39">
        <v>0</v>
      </c>
      <c r="D166" s="39">
        <v>1521.1395000000002</v>
      </c>
      <c r="E166" s="39">
        <v>1646.7226795899546</v>
      </c>
      <c r="F166" s="39">
        <v>615.78300000000002</v>
      </c>
      <c r="G166" s="39">
        <v>556.20463160912379</v>
      </c>
      <c r="H166" s="40">
        <v>8.2558621079759309E-2</v>
      </c>
      <c r="I166" s="40">
        <v>-9.6752213670848741E-2</v>
      </c>
      <c r="J166" s="40">
        <v>3.0887788957755014E-2</v>
      </c>
    </row>
    <row r="167" spans="1:10" ht="11.25" customHeight="1" x14ac:dyDescent="0.2">
      <c r="A167" s="49">
        <v>44743</v>
      </c>
      <c r="B167" s="39">
        <v>0</v>
      </c>
      <c r="C167" s="39">
        <v>0</v>
      </c>
      <c r="D167" s="39">
        <v>1354.0284000000001</v>
      </c>
      <c r="E167" s="39">
        <v>1465.8151176068329</v>
      </c>
      <c r="F167" s="39">
        <v>548.1336</v>
      </c>
      <c r="G167" s="39">
        <v>495.10046081262846</v>
      </c>
      <c r="H167" s="40">
        <v>8.2558621079759309E-2</v>
      </c>
      <c r="I167" s="40">
        <v>-9.6752213670848741E-2</v>
      </c>
      <c r="J167" s="40">
        <v>3.0887788957755014E-2</v>
      </c>
    </row>
    <row r="168" spans="1:10" ht="11.25" customHeight="1" x14ac:dyDescent="0.2">
      <c r="A168" s="49">
        <v>44774</v>
      </c>
      <c r="B168" s="39">
        <v>0</v>
      </c>
      <c r="C168" s="39">
        <v>0</v>
      </c>
      <c r="D168" s="39">
        <v>1375.4529000000002</v>
      </c>
      <c r="E168" s="39">
        <v>1489.0083947841563</v>
      </c>
      <c r="F168" s="39">
        <v>556.8066</v>
      </c>
      <c r="G168" s="39">
        <v>502.93432886346119</v>
      </c>
      <c r="H168" s="40">
        <v>8.2558621079759309E-2</v>
      </c>
      <c r="I168" s="40">
        <v>-9.6752213670848741E-2</v>
      </c>
      <c r="J168" s="40">
        <v>3.0887788957755014E-2</v>
      </c>
    </row>
    <row r="169" spans="1:10" ht="11.25" customHeight="1" x14ac:dyDescent="0.2">
      <c r="A169" s="45" t="s">
        <v>30</v>
      </c>
      <c r="B169" s="39">
        <v>0</v>
      </c>
      <c r="C169" s="39">
        <v>0</v>
      </c>
      <c r="D169" s="39">
        <v>54763.151000000005</v>
      </c>
      <c r="E169" s="39">
        <v>59284.667125487198</v>
      </c>
      <c r="F169" s="39">
        <v>22169.179199999999</v>
      </c>
      <c r="G169" s="39">
        <v>20024.262037134264</v>
      </c>
      <c r="H169" s="40">
        <v>8.2564937241963898E-2</v>
      </c>
      <c r="I169" s="40">
        <v>-9.6752213670848741E-2</v>
      </c>
      <c r="J169" s="40">
        <v>3.0892070426608242E-2</v>
      </c>
    </row>
    <row r="170" spans="1:10" ht="11.25" customHeight="1" x14ac:dyDescent="0.2">
      <c r="A170" s="46" t="s">
        <v>25</v>
      </c>
      <c r="B170" s="39">
        <v>0</v>
      </c>
      <c r="C170" s="39">
        <v>0</v>
      </c>
      <c r="D170" s="39">
        <v>54763.151000000005</v>
      </c>
      <c r="E170" s="39">
        <v>59284.667125487198</v>
      </c>
      <c r="F170" s="39">
        <v>22169.179199999999</v>
      </c>
      <c r="G170" s="39">
        <v>20024.262037134264</v>
      </c>
      <c r="H170" s="40">
        <v>8.2564937241963898E-2</v>
      </c>
      <c r="I170" s="40">
        <v>-9.6752213670848741E-2</v>
      </c>
      <c r="J170" s="40">
        <v>3.0892070426608242E-2</v>
      </c>
    </row>
    <row r="171" spans="1:10" ht="11.25" customHeight="1" x14ac:dyDescent="0.2">
      <c r="A171" s="47" t="s">
        <v>25</v>
      </c>
      <c r="B171" s="39">
        <v>0</v>
      </c>
      <c r="C171" s="39">
        <v>0</v>
      </c>
      <c r="D171" s="39">
        <v>54763.151000000005</v>
      </c>
      <c r="E171" s="39">
        <v>59284.667125487198</v>
      </c>
      <c r="F171" s="39">
        <v>22169.179199999999</v>
      </c>
      <c r="G171" s="39">
        <v>20024.262037134264</v>
      </c>
      <c r="H171" s="40">
        <v>8.2564937241963898E-2</v>
      </c>
      <c r="I171" s="40">
        <v>-9.6752213670848741E-2</v>
      </c>
      <c r="J171" s="40">
        <v>3.0892070426608242E-2</v>
      </c>
    </row>
    <row r="172" spans="1:10" ht="11.25" customHeight="1" x14ac:dyDescent="0.2">
      <c r="A172" s="48" t="s">
        <v>25</v>
      </c>
      <c r="B172" s="39">
        <v>0</v>
      </c>
      <c r="C172" s="39">
        <v>0</v>
      </c>
      <c r="D172" s="39">
        <v>54763.151000000005</v>
      </c>
      <c r="E172" s="39">
        <v>59284.667125487198</v>
      </c>
      <c r="F172" s="39">
        <v>22169.179199999999</v>
      </c>
      <c r="G172" s="39">
        <v>20024.262037134264</v>
      </c>
      <c r="H172" s="40">
        <v>8.2564937241963898E-2</v>
      </c>
      <c r="I172" s="40">
        <v>-9.6752213670848741E-2</v>
      </c>
      <c r="J172" s="40">
        <v>3.0892070426608242E-2</v>
      </c>
    </row>
    <row r="173" spans="1:10" ht="11.25" customHeight="1" x14ac:dyDescent="0.2">
      <c r="A173" s="49">
        <v>44440</v>
      </c>
      <c r="B173" s="39">
        <v>0</v>
      </c>
      <c r="C173" s="39">
        <v>0</v>
      </c>
      <c r="D173" s="39">
        <v>3014.1035000000002</v>
      </c>
      <c r="E173" s="39">
        <v>3262.9627663182846</v>
      </c>
      <c r="F173" s="39">
        <v>1220.1672000000001</v>
      </c>
      <c r="G173" s="39">
        <v>1102.1133223514389</v>
      </c>
      <c r="H173" s="40">
        <v>8.256493724196412E-2</v>
      </c>
      <c r="I173" s="40">
        <v>-9.6752213670848741E-2</v>
      </c>
      <c r="J173" s="40">
        <v>3.0892070426608242E-2</v>
      </c>
    </row>
    <row r="174" spans="1:10" ht="11.25" customHeight="1" x14ac:dyDescent="0.2">
      <c r="A174" s="49">
        <v>44470</v>
      </c>
      <c r="B174" s="39">
        <v>0</v>
      </c>
      <c r="C174" s="39">
        <v>0</v>
      </c>
      <c r="D174" s="39">
        <v>2931.09935</v>
      </c>
      <c r="E174" s="39">
        <v>3173.105383882712</v>
      </c>
      <c r="F174" s="39">
        <v>1186.5655200000001</v>
      </c>
      <c r="G174" s="39">
        <v>1071.7626792744982</v>
      </c>
      <c r="H174" s="40">
        <v>8.256493724196412E-2</v>
      </c>
      <c r="I174" s="40">
        <v>-9.6752213670848852E-2</v>
      </c>
      <c r="J174" s="40">
        <v>3.0892070426607798E-2</v>
      </c>
    </row>
    <row r="175" spans="1:10" ht="11.25" customHeight="1" x14ac:dyDescent="0.2">
      <c r="A175" s="49">
        <v>44501</v>
      </c>
      <c r="B175" s="39">
        <v>0</v>
      </c>
      <c r="C175" s="39">
        <v>0</v>
      </c>
      <c r="D175" s="39">
        <v>3031.7327</v>
      </c>
      <c r="E175" s="39">
        <v>3282.0475201099102</v>
      </c>
      <c r="F175" s="39">
        <v>1227.30384</v>
      </c>
      <c r="G175" s="39">
        <v>1108.5594766332667</v>
      </c>
      <c r="H175" s="40">
        <v>8.256493724196412E-2</v>
      </c>
      <c r="I175" s="40">
        <v>-9.6752213670848852E-2</v>
      </c>
      <c r="J175" s="40">
        <v>3.089207042660802E-2</v>
      </c>
    </row>
    <row r="176" spans="1:10" ht="11.25" customHeight="1" x14ac:dyDescent="0.2">
      <c r="A176" s="49">
        <v>44531</v>
      </c>
      <c r="B176" s="39">
        <v>0</v>
      </c>
      <c r="C176" s="39">
        <v>0</v>
      </c>
      <c r="D176" s="39">
        <v>3218.7981</v>
      </c>
      <c r="E176" s="39">
        <v>3484.5579631210535</v>
      </c>
      <c r="F176" s="39">
        <v>1303.0315200000002</v>
      </c>
      <c r="G176" s="39">
        <v>1176.9603359571092</v>
      </c>
      <c r="H176" s="40">
        <v>8.256493724196412E-2</v>
      </c>
      <c r="I176" s="40">
        <v>-9.6752213670848852E-2</v>
      </c>
      <c r="J176" s="40">
        <v>3.0892070426608242E-2</v>
      </c>
    </row>
    <row r="177" spans="1:10" ht="11.25" customHeight="1" x14ac:dyDescent="0.2">
      <c r="A177" s="49">
        <v>44562</v>
      </c>
      <c r="B177" s="39">
        <v>0</v>
      </c>
      <c r="C177" s="39">
        <v>0</v>
      </c>
      <c r="D177" s="39">
        <v>3325.5527000000002</v>
      </c>
      <c r="E177" s="39">
        <v>3600.1267499703445</v>
      </c>
      <c r="F177" s="39">
        <v>1346.2478400000002</v>
      </c>
      <c r="G177" s="39">
        <v>1215.9953813304014</v>
      </c>
      <c r="H177" s="40">
        <v>8.256493724196412E-2</v>
      </c>
      <c r="I177" s="40">
        <v>-9.6752213670848852E-2</v>
      </c>
      <c r="J177" s="40">
        <v>3.0892070426608242E-2</v>
      </c>
    </row>
    <row r="178" spans="1:10" ht="11.25" customHeight="1" x14ac:dyDescent="0.2">
      <c r="A178" s="49">
        <v>44593</v>
      </c>
      <c r="B178" s="39">
        <v>0</v>
      </c>
      <c r="C178" s="39">
        <v>0</v>
      </c>
      <c r="D178" s="39">
        <v>6024.0445500000005</v>
      </c>
      <c r="E178" s="39">
        <v>6521.4194102135461</v>
      </c>
      <c r="F178" s="39">
        <v>2438.6493600000003</v>
      </c>
      <c r="G178" s="39">
        <v>2202.7046360530016</v>
      </c>
      <c r="H178" s="40">
        <v>8.256493724196412E-2</v>
      </c>
      <c r="I178" s="40">
        <v>-9.6752213670848741E-2</v>
      </c>
      <c r="J178" s="40">
        <v>3.089207042660802E-2</v>
      </c>
    </row>
    <row r="179" spans="1:10" ht="11.25" customHeight="1" x14ac:dyDescent="0.2">
      <c r="A179" s="49">
        <v>44621</v>
      </c>
      <c r="B179" s="39">
        <v>0</v>
      </c>
      <c r="C179" s="39">
        <v>0</v>
      </c>
      <c r="D179" s="39">
        <v>6465.0194000000001</v>
      </c>
      <c r="E179" s="39">
        <v>6998.8033210290805</v>
      </c>
      <c r="F179" s="39">
        <v>2617.1644799999999</v>
      </c>
      <c r="G179" s="39">
        <v>2363.9480230192844</v>
      </c>
      <c r="H179" s="40">
        <v>8.256493724196412E-2</v>
      </c>
      <c r="I179" s="40">
        <v>-9.675221367084863E-2</v>
      </c>
      <c r="J179" s="40">
        <v>3.089207042660802E-2</v>
      </c>
    </row>
    <row r="180" spans="1:10" ht="11.25" customHeight="1" x14ac:dyDescent="0.2">
      <c r="A180" s="49">
        <v>44652</v>
      </c>
      <c r="B180" s="39">
        <v>0</v>
      </c>
      <c r="C180" s="39">
        <v>0</v>
      </c>
      <c r="D180" s="39">
        <v>6403.0723499999995</v>
      </c>
      <c r="E180" s="39">
        <v>6931.7416167335059</v>
      </c>
      <c r="F180" s="39">
        <v>2592.0871200000001</v>
      </c>
      <c r="G180" s="39">
        <v>2341.2969531123049</v>
      </c>
      <c r="H180" s="40">
        <v>8.2564937241964342E-2</v>
      </c>
      <c r="I180" s="40">
        <v>-9.6752213670848852E-2</v>
      </c>
      <c r="J180" s="40">
        <v>3.0892070426608242E-2</v>
      </c>
    </row>
    <row r="181" spans="1:10" ht="11.25" customHeight="1" x14ac:dyDescent="0.2">
      <c r="A181" s="49">
        <v>44682</v>
      </c>
      <c r="B181" s="39">
        <v>0</v>
      </c>
      <c r="C181" s="39">
        <v>0</v>
      </c>
      <c r="D181" s="39">
        <v>5952.7932000000001</v>
      </c>
      <c r="E181" s="39">
        <v>6444.2851969723915</v>
      </c>
      <c r="F181" s="39">
        <v>2409.8054400000001</v>
      </c>
      <c r="G181" s="39">
        <v>2176.6514291639464</v>
      </c>
      <c r="H181" s="40">
        <v>8.2564937241964342E-2</v>
      </c>
      <c r="I181" s="40">
        <v>-9.6752213670848741E-2</v>
      </c>
      <c r="J181" s="40">
        <v>3.089207042660802E-2</v>
      </c>
    </row>
    <row r="182" spans="1:10" ht="11.25" customHeight="1" x14ac:dyDescent="0.2">
      <c r="A182" s="49">
        <v>44713</v>
      </c>
      <c r="B182" s="39">
        <v>0</v>
      </c>
      <c r="C182" s="39">
        <v>0</v>
      </c>
      <c r="D182" s="39">
        <v>5158.9894999999997</v>
      </c>
      <c r="E182" s="39">
        <v>5584.9411442994524</v>
      </c>
      <c r="F182" s="39">
        <v>2088.4584</v>
      </c>
      <c r="G182" s="39">
        <v>1886.395426640521</v>
      </c>
      <c r="H182" s="40">
        <v>8.2564937241964342E-2</v>
      </c>
      <c r="I182" s="40">
        <v>-9.6752213670848741E-2</v>
      </c>
      <c r="J182" s="40">
        <v>3.0892070426608242E-2</v>
      </c>
    </row>
    <row r="183" spans="1:10" ht="11.25" customHeight="1" x14ac:dyDescent="0.2">
      <c r="A183" s="49">
        <v>44743</v>
      </c>
      <c r="B183" s="39">
        <v>0</v>
      </c>
      <c r="C183" s="39">
        <v>0</v>
      </c>
      <c r="D183" s="39">
        <v>4556.9033500000005</v>
      </c>
      <c r="E183" s="39">
        <v>4933.1437891104461</v>
      </c>
      <c r="F183" s="39">
        <v>1844.7223200000001</v>
      </c>
      <c r="G183" s="39">
        <v>1666.2413519319762</v>
      </c>
      <c r="H183" s="40">
        <v>8.2564937241963898E-2</v>
      </c>
      <c r="I183" s="40">
        <v>-9.6752213670848741E-2</v>
      </c>
      <c r="J183" s="40">
        <v>3.089207042660802E-2</v>
      </c>
    </row>
    <row r="184" spans="1:10" ht="11.25" customHeight="1" x14ac:dyDescent="0.2">
      <c r="A184" s="49">
        <v>44774</v>
      </c>
      <c r="B184" s="39">
        <v>0</v>
      </c>
      <c r="C184" s="39">
        <v>0</v>
      </c>
      <c r="D184" s="39">
        <v>4681.0422999999992</v>
      </c>
      <c r="E184" s="39">
        <v>5067.532263726479</v>
      </c>
      <c r="F184" s="39">
        <v>1894.9761599999999</v>
      </c>
      <c r="G184" s="39">
        <v>1711.6330216665153</v>
      </c>
      <c r="H184" s="40">
        <v>8.256493724196412E-2</v>
      </c>
      <c r="I184" s="40">
        <v>-9.6752213670848852E-2</v>
      </c>
      <c r="J184" s="40">
        <v>3.0892070426608242E-2</v>
      </c>
    </row>
    <row r="185" spans="1:10" ht="11.25" customHeight="1" x14ac:dyDescent="0.2">
      <c r="A185" s="45" t="s">
        <v>31</v>
      </c>
      <c r="B185" s="39">
        <v>0</v>
      </c>
      <c r="C185" s="39">
        <v>0</v>
      </c>
      <c r="D185" s="39">
        <v>84231.538149999993</v>
      </c>
      <c r="E185" s="39">
        <v>91187.351215426519</v>
      </c>
      <c r="F185" s="39">
        <v>34101.30805</v>
      </c>
      <c r="G185" s="39">
        <v>30799.859453455414</v>
      </c>
      <c r="H185" s="40">
        <v>8.2579675240401995E-2</v>
      </c>
      <c r="I185" s="40">
        <v>-9.6812960714115048E-2</v>
      </c>
      <c r="J185" s="40">
        <v>3.088208038793816E-2</v>
      </c>
    </row>
    <row r="186" spans="1:10" ht="11.25" customHeight="1" x14ac:dyDescent="0.2">
      <c r="A186" s="46" t="s">
        <v>25</v>
      </c>
      <c r="B186" s="39">
        <v>0</v>
      </c>
      <c r="C186" s="39">
        <v>0</v>
      </c>
      <c r="D186" s="39">
        <v>84231.538149999993</v>
      </c>
      <c r="E186" s="39">
        <v>91187.351215426519</v>
      </c>
      <c r="F186" s="39">
        <v>34101.30805</v>
      </c>
      <c r="G186" s="39">
        <v>30799.859453455414</v>
      </c>
      <c r="H186" s="40">
        <v>8.2579675240401995E-2</v>
      </c>
      <c r="I186" s="40">
        <v>-9.6812960714115048E-2</v>
      </c>
      <c r="J186" s="40">
        <v>3.088208038793816E-2</v>
      </c>
    </row>
    <row r="187" spans="1:10" ht="11.25" customHeight="1" x14ac:dyDescent="0.2">
      <c r="A187" s="47" t="s">
        <v>25</v>
      </c>
      <c r="B187" s="39">
        <v>0</v>
      </c>
      <c r="C187" s="39">
        <v>0</v>
      </c>
      <c r="D187" s="39">
        <v>84231.538149999993</v>
      </c>
      <c r="E187" s="39">
        <v>91187.351215426519</v>
      </c>
      <c r="F187" s="39">
        <v>34101.30805</v>
      </c>
      <c r="G187" s="39">
        <v>30799.859453455414</v>
      </c>
      <c r="H187" s="40">
        <v>8.2579675240401995E-2</v>
      </c>
      <c r="I187" s="40">
        <v>-9.6812960714115048E-2</v>
      </c>
      <c r="J187" s="40">
        <v>3.088208038793816E-2</v>
      </c>
    </row>
    <row r="188" spans="1:10" ht="11.25" customHeight="1" x14ac:dyDescent="0.2">
      <c r="A188" s="48" t="s">
        <v>25</v>
      </c>
      <c r="B188" s="39">
        <v>0</v>
      </c>
      <c r="C188" s="39">
        <v>0</v>
      </c>
      <c r="D188" s="39">
        <v>84231.538149999993</v>
      </c>
      <c r="E188" s="39">
        <v>91187.351215426519</v>
      </c>
      <c r="F188" s="39">
        <v>34101.30805</v>
      </c>
      <c r="G188" s="39">
        <v>30799.859453455414</v>
      </c>
      <c r="H188" s="40">
        <v>8.2579675240401995E-2</v>
      </c>
      <c r="I188" s="40">
        <v>-9.6812960714115048E-2</v>
      </c>
      <c r="J188" s="40">
        <v>3.088208038793816E-2</v>
      </c>
    </row>
    <row r="189" spans="1:10" ht="11.25" customHeight="1" x14ac:dyDescent="0.2">
      <c r="A189" s="49">
        <v>44440</v>
      </c>
      <c r="B189" s="39">
        <v>0</v>
      </c>
      <c r="C189" s="39">
        <v>0</v>
      </c>
      <c r="D189" s="39">
        <v>4752.8410700000004</v>
      </c>
      <c r="E189" s="39">
        <v>5145.3291420298447</v>
      </c>
      <c r="F189" s="39">
        <v>1924.1972900000001</v>
      </c>
      <c r="G189" s="39">
        <v>1737.9100533570233</v>
      </c>
      <c r="H189" s="40">
        <v>8.2579675240401995E-2</v>
      </c>
      <c r="I189" s="40">
        <v>-9.6812960714115048E-2</v>
      </c>
      <c r="J189" s="40">
        <v>3.0882080387938382E-2</v>
      </c>
    </row>
    <row r="190" spans="1:10" ht="11.25" customHeight="1" x14ac:dyDescent="0.2">
      <c r="A190" s="49">
        <v>44470</v>
      </c>
      <c r="B190" s="39">
        <v>0</v>
      </c>
      <c r="C190" s="39">
        <v>0</v>
      </c>
      <c r="D190" s="39">
        <v>3760.1102599999995</v>
      </c>
      <c r="E190" s="39">
        <v>4070.6189441389033</v>
      </c>
      <c r="F190" s="39">
        <v>1522.2882199999999</v>
      </c>
      <c r="G190" s="39">
        <v>1374.9109903615797</v>
      </c>
      <c r="H190" s="40">
        <v>8.2579675240401995E-2</v>
      </c>
      <c r="I190" s="40">
        <v>-9.6812960714115159E-2</v>
      </c>
      <c r="J190" s="40">
        <v>3.0882080387938382E-2</v>
      </c>
    </row>
    <row r="191" spans="1:10" ht="11.25" customHeight="1" x14ac:dyDescent="0.2">
      <c r="A191" s="49">
        <v>44501</v>
      </c>
      <c r="B191" s="39">
        <v>0</v>
      </c>
      <c r="C191" s="39">
        <v>0</v>
      </c>
      <c r="D191" s="39">
        <v>4575.4496600000002</v>
      </c>
      <c r="E191" s="39">
        <v>4953.2888070016079</v>
      </c>
      <c r="F191" s="39">
        <v>1852.3800200000001</v>
      </c>
      <c r="G191" s="39">
        <v>1673.0456258961283</v>
      </c>
      <c r="H191" s="40">
        <v>8.2579675240401995E-2</v>
      </c>
      <c r="I191" s="40">
        <v>-9.6812960714115159E-2</v>
      </c>
      <c r="J191" s="40">
        <v>3.0882080387938382E-2</v>
      </c>
    </row>
    <row r="192" spans="1:10" ht="11.25" customHeight="1" x14ac:dyDescent="0.2">
      <c r="A192" s="49">
        <v>44531</v>
      </c>
      <c r="B192" s="39">
        <v>0</v>
      </c>
      <c r="C192" s="39">
        <v>0</v>
      </c>
      <c r="D192" s="39">
        <v>5665.8742899999997</v>
      </c>
      <c r="E192" s="39">
        <v>6133.7603488211435</v>
      </c>
      <c r="F192" s="39">
        <v>2293.8406299999997</v>
      </c>
      <c r="G192" s="39">
        <v>2071.767127203369</v>
      </c>
      <c r="H192" s="40">
        <v>8.2579675240401995E-2</v>
      </c>
      <c r="I192" s="40">
        <v>-9.6812960714114937E-2</v>
      </c>
      <c r="J192" s="40">
        <v>3.0882080387938382E-2</v>
      </c>
    </row>
    <row r="193" spans="1:10" ht="11.25" customHeight="1" x14ac:dyDescent="0.2">
      <c r="A193" s="49">
        <v>44562</v>
      </c>
      <c r="B193" s="39">
        <v>0</v>
      </c>
      <c r="C193" s="39">
        <v>0</v>
      </c>
      <c r="D193" s="39">
        <v>6122.7581699999992</v>
      </c>
      <c r="E193" s="39">
        <v>6628.373551254118</v>
      </c>
      <c r="F193" s="39">
        <v>2478.8109899999999</v>
      </c>
      <c r="G193" s="39">
        <v>2238.8299590074134</v>
      </c>
      <c r="H193" s="40">
        <v>8.2579675240402217E-2</v>
      </c>
      <c r="I193" s="40">
        <v>-9.6812960714115048E-2</v>
      </c>
      <c r="J193" s="40">
        <v>3.0882080387938604E-2</v>
      </c>
    </row>
    <row r="194" spans="1:10" ht="11.25" customHeight="1" x14ac:dyDescent="0.2">
      <c r="A194" s="49">
        <v>44593</v>
      </c>
      <c r="B194" s="39">
        <v>0</v>
      </c>
      <c r="C194" s="39">
        <v>0</v>
      </c>
      <c r="D194" s="39">
        <v>9662.5064299999995</v>
      </c>
      <c r="E194" s="39">
        <v>10460.433072997697</v>
      </c>
      <c r="F194" s="39">
        <v>3911.8852099999999</v>
      </c>
      <c r="G194" s="39">
        <v>3533.1640208461422</v>
      </c>
      <c r="H194" s="40">
        <v>8.2579675240402217E-2</v>
      </c>
      <c r="I194" s="40">
        <v>-9.6812960714115048E-2</v>
      </c>
      <c r="J194" s="40">
        <v>3.0882080387938604E-2</v>
      </c>
    </row>
    <row r="195" spans="1:10" ht="11.25" customHeight="1" x14ac:dyDescent="0.2">
      <c r="A195" s="49">
        <v>44621</v>
      </c>
      <c r="B195" s="39">
        <v>0</v>
      </c>
      <c r="C195" s="39">
        <v>0</v>
      </c>
      <c r="D195" s="39">
        <v>10474.5404</v>
      </c>
      <c r="E195" s="39">
        <v>11339.524544524471</v>
      </c>
      <c r="F195" s="39">
        <v>4240.6387999999997</v>
      </c>
      <c r="G195" s="39">
        <v>3830.0900024528478</v>
      </c>
      <c r="H195" s="40">
        <v>8.2579675240401995E-2</v>
      </c>
      <c r="I195" s="40">
        <v>-9.6812960714115048E-2</v>
      </c>
      <c r="J195" s="40">
        <v>3.0882080387938382E-2</v>
      </c>
    </row>
    <row r="196" spans="1:10" ht="11.25" customHeight="1" x14ac:dyDescent="0.2">
      <c r="A196" s="49">
        <v>44652</v>
      </c>
      <c r="B196" s="39">
        <v>0</v>
      </c>
      <c r="C196" s="39">
        <v>0</v>
      </c>
      <c r="D196" s="39">
        <v>9908.5773300000001</v>
      </c>
      <c r="E196" s="39">
        <v>10726.82442800581</v>
      </c>
      <c r="F196" s="39">
        <v>4011.5075099999999</v>
      </c>
      <c r="G196" s="39">
        <v>3623.1415910299925</v>
      </c>
      <c r="H196" s="40">
        <v>8.2579675240401995E-2</v>
      </c>
      <c r="I196" s="40">
        <v>-9.6812960714115048E-2</v>
      </c>
      <c r="J196" s="40">
        <v>3.0882080387938382E-2</v>
      </c>
    </row>
    <row r="197" spans="1:10" ht="11.25" customHeight="1" x14ac:dyDescent="0.2">
      <c r="A197" s="49">
        <v>44682</v>
      </c>
      <c r="B197" s="39">
        <v>0</v>
      </c>
      <c r="C197" s="39">
        <v>0</v>
      </c>
      <c r="D197" s="39">
        <v>8227.9498099999983</v>
      </c>
      <c r="E197" s="39">
        <v>8907.4112332041259</v>
      </c>
      <c r="F197" s="39">
        <v>3331.1020699999999</v>
      </c>
      <c r="G197" s="39">
        <v>3008.6082161623826</v>
      </c>
      <c r="H197" s="40">
        <v>8.2579675240401995E-2</v>
      </c>
      <c r="I197" s="40">
        <v>-9.6812960714115048E-2</v>
      </c>
      <c r="J197" s="40">
        <v>3.088208038793816E-2</v>
      </c>
    </row>
    <row r="198" spans="1:10" ht="11.25" customHeight="1" x14ac:dyDescent="0.2">
      <c r="A198" s="49">
        <v>44713</v>
      </c>
      <c r="B198" s="39">
        <v>0</v>
      </c>
      <c r="C198" s="39">
        <v>0</v>
      </c>
      <c r="D198" s="39">
        <v>8242.2733399999997</v>
      </c>
      <c r="E198" s="39">
        <v>8922.9175956598228</v>
      </c>
      <c r="F198" s="39">
        <v>3336.9009799999999</v>
      </c>
      <c r="G198" s="39">
        <v>3013.8457165163677</v>
      </c>
      <c r="H198" s="40">
        <v>8.2579675240401995E-2</v>
      </c>
      <c r="I198" s="40">
        <v>-9.6812960714115159E-2</v>
      </c>
      <c r="J198" s="40">
        <v>3.088208038793816E-2</v>
      </c>
    </row>
    <row r="199" spans="1:10" ht="11.25" customHeight="1" x14ac:dyDescent="0.2">
      <c r="A199" s="49">
        <v>44743</v>
      </c>
      <c r="B199" s="39">
        <v>0</v>
      </c>
      <c r="C199" s="39">
        <v>0</v>
      </c>
      <c r="D199" s="39">
        <v>5981.3592200000003</v>
      </c>
      <c r="E199" s="39">
        <v>6475.2979218837845</v>
      </c>
      <c r="F199" s="39">
        <v>2421.5653400000001</v>
      </c>
      <c r="G199" s="39">
        <v>2187.1264298719175</v>
      </c>
      <c r="H199" s="40">
        <v>8.2579675240401995E-2</v>
      </c>
      <c r="I199" s="40">
        <v>-9.6812960714115048E-2</v>
      </c>
      <c r="J199" s="40">
        <v>3.0882080387938604E-2</v>
      </c>
    </row>
    <row r="200" spans="1:10" ht="11.25" customHeight="1" x14ac:dyDescent="0.2">
      <c r="A200" s="49">
        <v>44774</v>
      </c>
      <c r="B200" s="39">
        <v>0</v>
      </c>
      <c r="C200" s="39">
        <v>0</v>
      </c>
      <c r="D200" s="39">
        <v>6857.2981699999991</v>
      </c>
      <c r="E200" s="39">
        <v>7423.5716259052024</v>
      </c>
      <c r="F200" s="39">
        <v>2776.1909900000001</v>
      </c>
      <c r="G200" s="39">
        <v>2507.4197207502498</v>
      </c>
      <c r="H200" s="40">
        <v>8.2579675240401995E-2</v>
      </c>
      <c r="I200" s="40">
        <v>-9.6812960714115048E-2</v>
      </c>
      <c r="J200" s="40">
        <v>3.0882080387938382E-2</v>
      </c>
    </row>
    <row r="201" spans="1:10" ht="11.25" customHeight="1" x14ac:dyDescent="0.2">
      <c r="A201" s="45" t="s">
        <v>32</v>
      </c>
      <c r="B201" s="39">
        <v>0</v>
      </c>
      <c r="C201" s="39">
        <v>0</v>
      </c>
      <c r="D201" s="39">
        <v>42111.815600000002</v>
      </c>
      <c r="E201" s="39">
        <v>45589.147396454835</v>
      </c>
      <c r="F201" s="39">
        <v>17048.845949999999</v>
      </c>
      <c r="G201" s="39">
        <v>15398.400257251113</v>
      </c>
      <c r="H201" s="40">
        <v>8.2573779992872964E-2</v>
      </c>
      <c r="I201" s="40">
        <v>-9.6806886377484469E-2</v>
      </c>
      <c r="J201" s="40">
        <v>3.0880082403438536E-2</v>
      </c>
    </row>
    <row r="202" spans="1:10" ht="11.25" customHeight="1" x14ac:dyDescent="0.2">
      <c r="A202" s="46" t="s">
        <v>25</v>
      </c>
      <c r="B202" s="39">
        <v>0</v>
      </c>
      <c r="C202" s="39">
        <v>0</v>
      </c>
      <c r="D202" s="39">
        <v>42111.815600000002</v>
      </c>
      <c r="E202" s="39">
        <v>45589.147396454835</v>
      </c>
      <c r="F202" s="39">
        <v>17048.845949999999</v>
      </c>
      <c r="G202" s="39">
        <v>15398.400257251113</v>
      </c>
      <c r="H202" s="40">
        <v>8.2573779992872964E-2</v>
      </c>
      <c r="I202" s="40">
        <v>-9.6806886377484469E-2</v>
      </c>
      <c r="J202" s="40">
        <v>3.0880082403438536E-2</v>
      </c>
    </row>
    <row r="203" spans="1:10" ht="11.25" customHeight="1" x14ac:dyDescent="0.2">
      <c r="A203" s="47" t="s">
        <v>25</v>
      </c>
      <c r="B203" s="39">
        <v>0</v>
      </c>
      <c r="C203" s="39">
        <v>0</v>
      </c>
      <c r="D203" s="39">
        <v>42111.815600000002</v>
      </c>
      <c r="E203" s="39">
        <v>45589.147396454835</v>
      </c>
      <c r="F203" s="39">
        <v>17048.845949999999</v>
      </c>
      <c r="G203" s="39">
        <v>15398.400257251113</v>
      </c>
      <c r="H203" s="40">
        <v>8.2573779992872964E-2</v>
      </c>
      <c r="I203" s="40">
        <v>-9.6806886377484469E-2</v>
      </c>
      <c r="J203" s="40">
        <v>3.0880082403438536E-2</v>
      </c>
    </row>
    <row r="204" spans="1:10" ht="11.25" customHeight="1" x14ac:dyDescent="0.2">
      <c r="A204" s="48" t="s">
        <v>25</v>
      </c>
      <c r="B204" s="39">
        <v>0</v>
      </c>
      <c r="C204" s="39">
        <v>0</v>
      </c>
      <c r="D204" s="39">
        <v>42111.815600000002</v>
      </c>
      <c r="E204" s="39">
        <v>45589.147396454835</v>
      </c>
      <c r="F204" s="39">
        <v>17048.845949999999</v>
      </c>
      <c r="G204" s="39">
        <v>15398.400257251113</v>
      </c>
      <c r="H204" s="40">
        <v>8.2573779992872964E-2</v>
      </c>
      <c r="I204" s="40">
        <v>-9.6806886377484469E-2</v>
      </c>
      <c r="J204" s="40">
        <v>3.0880082403438536E-2</v>
      </c>
    </row>
    <row r="205" spans="1:10" ht="11.25" customHeight="1" x14ac:dyDescent="0.2">
      <c r="A205" s="49">
        <v>44440</v>
      </c>
      <c r="B205" s="39">
        <v>0</v>
      </c>
      <c r="C205" s="39">
        <v>0</v>
      </c>
      <c r="D205" s="39">
        <v>2194.2461599999997</v>
      </c>
      <c r="E205" s="39">
        <v>2375.4333596660463</v>
      </c>
      <c r="F205" s="39">
        <v>888.33416999999997</v>
      </c>
      <c r="G205" s="39">
        <v>802.33730493957296</v>
      </c>
      <c r="H205" s="40">
        <v>8.2573779992873186E-2</v>
      </c>
      <c r="I205" s="40">
        <v>-9.6806886377484469E-2</v>
      </c>
      <c r="J205" s="40">
        <v>3.0880082403438758E-2</v>
      </c>
    </row>
    <row r="206" spans="1:10" ht="11.25" customHeight="1" x14ac:dyDescent="0.2">
      <c r="A206" s="49">
        <v>44470</v>
      </c>
      <c r="B206" s="39">
        <v>0</v>
      </c>
      <c r="C206" s="39">
        <v>0</v>
      </c>
      <c r="D206" s="39">
        <v>1162.2118399999999</v>
      </c>
      <c r="E206" s="39">
        <v>1258.180064781272</v>
      </c>
      <c r="F206" s="39">
        <v>470.51808</v>
      </c>
      <c r="G206" s="39">
        <v>424.96868969088786</v>
      </c>
      <c r="H206" s="40">
        <v>8.2573779992872964E-2</v>
      </c>
      <c r="I206" s="40">
        <v>-9.6806886377484469E-2</v>
      </c>
      <c r="J206" s="40">
        <v>3.0880082403438758E-2</v>
      </c>
    </row>
    <row r="207" spans="1:10" ht="11.25" customHeight="1" x14ac:dyDescent="0.2">
      <c r="A207" s="49">
        <v>44501</v>
      </c>
      <c r="B207" s="39">
        <v>0</v>
      </c>
      <c r="C207" s="39">
        <v>0</v>
      </c>
      <c r="D207" s="39">
        <v>1929.4022399999999</v>
      </c>
      <c r="E207" s="39">
        <v>2088.7202760835162</v>
      </c>
      <c r="F207" s="39">
        <v>781.11288000000002</v>
      </c>
      <c r="G207" s="39">
        <v>705.49577417785031</v>
      </c>
      <c r="H207" s="40">
        <v>8.2573779992872964E-2</v>
      </c>
      <c r="I207" s="40">
        <v>-9.680688637748458E-2</v>
      </c>
      <c r="J207" s="40">
        <v>3.0880082403438758E-2</v>
      </c>
    </row>
    <row r="208" spans="1:10" ht="11.25" customHeight="1" x14ac:dyDescent="0.2">
      <c r="A208" s="49">
        <v>44531</v>
      </c>
      <c r="B208" s="39">
        <v>0</v>
      </c>
      <c r="C208" s="39">
        <v>0</v>
      </c>
      <c r="D208" s="39">
        <v>3183.8401599999997</v>
      </c>
      <c r="E208" s="39">
        <v>3446.7418769043129</v>
      </c>
      <c r="F208" s="39">
        <v>1288.9684199999999</v>
      </c>
      <c r="G208" s="39">
        <v>1164.1874006208943</v>
      </c>
      <c r="H208" s="40">
        <v>8.2573779992872964E-2</v>
      </c>
      <c r="I208" s="40">
        <v>-9.6806886377484469E-2</v>
      </c>
      <c r="J208" s="40">
        <v>3.0880082403438536E-2</v>
      </c>
    </row>
    <row r="209" spans="1:10" ht="11.25" customHeight="1" x14ac:dyDescent="0.2">
      <c r="A209" s="49">
        <v>44562</v>
      </c>
      <c r="B209" s="39">
        <v>0</v>
      </c>
      <c r="C209" s="39">
        <v>0</v>
      </c>
      <c r="D209" s="39">
        <v>4272.5976000000001</v>
      </c>
      <c r="E209" s="39">
        <v>4625.4021342204769</v>
      </c>
      <c r="F209" s="39">
        <v>1729.7487000000001</v>
      </c>
      <c r="G209" s="39">
        <v>1562.2971141374987</v>
      </c>
      <c r="H209" s="40">
        <v>8.2573779992872964E-2</v>
      </c>
      <c r="I209" s="40">
        <v>-9.6806886377484358E-2</v>
      </c>
      <c r="J209" s="40">
        <v>3.0880082403438758E-2</v>
      </c>
    </row>
    <row r="210" spans="1:10" ht="11.25" customHeight="1" x14ac:dyDescent="0.2">
      <c r="A210" s="49">
        <v>44593</v>
      </c>
      <c r="B210" s="39">
        <v>0</v>
      </c>
      <c r="C210" s="39">
        <v>0</v>
      </c>
      <c r="D210" s="39">
        <v>5828.1985599999998</v>
      </c>
      <c r="E210" s="39">
        <v>6309.4549456482191</v>
      </c>
      <c r="F210" s="39">
        <v>2359.5292199999999</v>
      </c>
      <c r="G210" s="39">
        <v>2131.1105428951055</v>
      </c>
      <c r="H210" s="40">
        <v>8.2573779992872964E-2</v>
      </c>
      <c r="I210" s="40">
        <v>-9.6806886377484469E-2</v>
      </c>
      <c r="J210" s="40">
        <v>3.088008240343898E-2</v>
      </c>
    </row>
    <row r="211" spans="1:10" ht="11.25" customHeight="1" x14ac:dyDescent="0.2">
      <c r="A211" s="49">
        <v>44621</v>
      </c>
      <c r="B211" s="39">
        <v>0</v>
      </c>
      <c r="C211" s="39">
        <v>0</v>
      </c>
      <c r="D211" s="39">
        <v>6451.7448000000004</v>
      </c>
      <c r="E211" s="39">
        <v>6984.4897556853621</v>
      </c>
      <c r="F211" s="39">
        <v>2611.9701</v>
      </c>
      <c r="G211" s="39">
        <v>2359.1134073079133</v>
      </c>
      <c r="H211" s="40">
        <v>8.2573779992872964E-2</v>
      </c>
      <c r="I211" s="40">
        <v>-9.6806886377484469E-2</v>
      </c>
      <c r="J211" s="40">
        <v>3.0880082403438536E-2</v>
      </c>
    </row>
    <row r="212" spans="1:10" ht="11.25" customHeight="1" x14ac:dyDescent="0.2">
      <c r="A212" s="49">
        <v>44652</v>
      </c>
      <c r="B212" s="39">
        <v>0</v>
      </c>
      <c r="C212" s="39">
        <v>0</v>
      </c>
      <c r="D212" s="39">
        <v>4953.6831199999997</v>
      </c>
      <c r="E212" s="39">
        <v>5362.7274601052877</v>
      </c>
      <c r="F212" s="39">
        <v>2005.4841899999999</v>
      </c>
      <c r="G212" s="39">
        <v>1811.3395098868284</v>
      </c>
      <c r="H212" s="40">
        <v>8.2573779992872964E-2</v>
      </c>
      <c r="I212" s="40">
        <v>-9.6806886377484469E-2</v>
      </c>
      <c r="J212" s="40">
        <v>3.0880082403438758E-2</v>
      </c>
    </row>
    <row r="213" spans="1:10" ht="11.25" customHeight="1" x14ac:dyDescent="0.2">
      <c r="A213" s="49">
        <v>44682</v>
      </c>
      <c r="B213" s="39">
        <v>0</v>
      </c>
      <c r="C213" s="39">
        <v>0</v>
      </c>
      <c r="D213" s="39">
        <v>3166.7007999999996</v>
      </c>
      <c r="E213" s="39">
        <v>3428.1872551624547</v>
      </c>
      <c r="F213" s="39">
        <v>1282.0296000000001</v>
      </c>
      <c r="G213" s="39">
        <v>1157.9203061802282</v>
      </c>
      <c r="H213" s="40">
        <v>8.2573779992872964E-2</v>
      </c>
      <c r="I213" s="40">
        <v>-9.6806886377484469E-2</v>
      </c>
      <c r="J213" s="40">
        <v>3.0880082403438758E-2</v>
      </c>
    </row>
    <row r="214" spans="1:10" ht="11.25" customHeight="1" x14ac:dyDescent="0.2">
      <c r="A214" s="49">
        <v>44713</v>
      </c>
      <c r="B214" s="39">
        <v>0</v>
      </c>
      <c r="C214" s="39">
        <v>0</v>
      </c>
      <c r="D214" s="39">
        <v>4339.9308000000001</v>
      </c>
      <c r="E214" s="39">
        <v>4698.2952910634931</v>
      </c>
      <c r="F214" s="39">
        <v>1757.0083500000001</v>
      </c>
      <c r="G214" s="39">
        <v>1586.9178422972584</v>
      </c>
      <c r="H214" s="40">
        <v>8.2573779992872964E-2</v>
      </c>
      <c r="I214" s="40">
        <v>-9.680688637748458E-2</v>
      </c>
      <c r="J214" s="40">
        <v>3.0880082403438536E-2</v>
      </c>
    </row>
    <row r="215" spans="1:10" ht="11.25" customHeight="1" x14ac:dyDescent="0.2">
      <c r="A215" s="49">
        <v>44743</v>
      </c>
      <c r="B215" s="39">
        <v>0</v>
      </c>
      <c r="C215" s="39">
        <v>0</v>
      </c>
      <c r="D215" s="39">
        <v>1759.64096</v>
      </c>
      <c r="E215" s="39">
        <v>1904.9411654974879</v>
      </c>
      <c r="F215" s="39">
        <v>712.38552000000004</v>
      </c>
      <c r="G215" s="39">
        <v>643.4216959083949</v>
      </c>
      <c r="H215" s="40">
        <v>8.2573779992872964E-2</v>
      </c>
      <c r="I215" s="40">
        <v>-9.6806886377484358E-2</v>
      </c>
      <c r="J215" s="40">
        <v>3.0880082403438758E-2</v>
      </c>
    </row>
    <row r="216" spans="1:10" ht="11.25" customHeight="1" x14ac:dyDescent="0.2">
      <c r="A216" s="49">
        <v>44774</v>
      </c>
      <c r="B216" s="39">
        <v>0</v>
      </c>
      <c r="C216" s="39">
        <v>0</v>
      </c>
      <c r="D216" s="39">
        <v>2869.6185599999999</v>
      </c>
      <c r="E216" s="39">
        <v>3106.5738116369048</v>
      </c>
      <c r="F216" s="39">
        <v>1161.7567200000001</v>
      </c>
      <c r="G216" s="39">
        <v>1049.290669208681</v>
      </c>
      <c r="H216" s="40">
        <v>8.2573779992872964E-2</v>
      </c>
      <c r="I216" s="40">
        <v>-9.6806886377484469E-2</v>
      </c>
      <c r="J216" s="40">
        <v>3.0880082403438536E-2</v>
      </c>
    </row>
    <row r="217" spans="1:10" ht="11.25" customHeight="1" x14ac:dyDescent="0.2">
      <c r="A217" s="42" t="s">
        <v>40</v>
      </c>
      <c r="B217" s="39">
        <v>0</v>
      </c>
      <c r="C217" s="39">
        <v>0</v>
      </c>
      <c r="D217" s="39">
        <v>1369733.10907</v>
      </c>
      <c r="E217" s="39">
        <v>1685014.5197740751</v>
      </c>
      <c r="F217" s="39">
        <v>475334.30262000003</v>
      </c>
      <c r="G217" s="39">
        <v>458605.53745574394</v>
      </c>
      <c r="H217" s="40">
        <v>0.23017725761052832</v>
      </c>
      <c r="I217" s="40">
        <v>-3.5193683839033874E-2</v>
      </c>
      <c r="J217" s="40">
        <v>0.16181123987570634</v>
      </c>
    </row>
    <row r="218" spans="1:10" ht="11.25" customHeight="1" x14ac:dyDescent="0.2">
      <c r="A218" s="43" t="s">
        <v>23</v>
      </c>
      <c r="B218" s="39">
        <v>0</v>
      </c>
      <c r="C218" s="39">
        <v>0</v>
      </c>
      <c r="D218" s="39">
        <v>1369733.10907</v>
      </c>
      <c r="E218" s="39">
        <v>1685014.5197740751</v>
      </c>
      <c r="F218" s="39">
        <v>475334.30262000003</v>
      </c>
      <c r="G218" s="39">
        <v>458605.53745574394</v>
      </c>
      <c r="H218" s="40">
        <v>0.23017725761052832</v>
      </c>
      <c r="I218" s="40">
        <v>-3.5193683839033874E-2</v>
      </c>
      <c r="J218" s="40">
        <v>0.16181123987570634</v>
      </c>
    </row>
    <row r="219" spans="1:10" ht="11.25" customHeight="1" x14ac:dyDescent="0.2">
      <c r="A219" s="44" t="s">
        <v>41</v>
      </c>
      <c r="B219" s="39">
        <v>0</v>
      </c>
      <c r="C219" s="39">
        <v>0</v>
      </c>
      <c r="D219" s="39">
        <v>1369733.10907</v>
      </c>
      <c r="E219" s="39">
        <v>1685014.5197740751</v>
      </c>
      <c r="F219" s="39">
        <v>475334.30262000003</v>
      </c>
      <c r="G219" s="39">
        <v>458605.53745574394</v>
      </c>
      <c r="H219" s="40">
        <v>0.23017725761052832</v>
      </c>
      <c r="I219" s="40">
        <v>-3.5193683839033874E-2</v>
      </c>
      <c r="J219" s="40">
        <v>0.16181123987570634</v>
      </c>
    </row>
    <row r="220" spans="1:10" ht="11.25" customHeight="1" x14ac:dyDescent="0.2">
      <c r="A220" s="45" t="s">
        <v>53</v>
      </c>
      <c r="B220" s="39">
        <v>0</v>
      </c>
      <c r="C220" s="39">
        <v>0</v>
      </c>
      <c r="D220" s="39">
        <v>1481.5878380000004</v>
      </c>
      <c r="E220" s="39">
        <v>1822.6156634599515</v>
      </c>
      <c r="F220" s="39">
        <v>514.15090799999996</v>
      </c>
      <c r="G220" s="39">
        <v>496.05604349829559</v>
      </c>
      <c r="H220" s="40">
        <v>0.23017725761052787</v>
      </c>
      <c r="I220" s="40">
        <v>-3.5193683839034207E-2</v>
      </c>
      <c r="J220" s="40">
        <v>0.16181123987570611</v>
      </c>
    </row>
    <row r="221" spans="1:10" ht="11.25" customHeight="1" x14ac:dyDescent="0.2">
      <c r="A221" s="46" t="s">
        <v>51</v>
      </c>
      <c r="B221" s="39">
        <v>0</v>
      </c>
      <c r="C221" s="39">
        <v>0</v>
      </c>
      <c r="D221" s="39">
        <v>1397.1315500000003</v>
      </c>
      <c r="E221" s="39">
        <v>1718.7194587001466</v>
      </c>
      <c r="F221" s="39">
        <v>484.84229999999997</v>
      </c>
      <c r="G221" s="39">
        <v>467.77891338200982</v>
      </c>
      <c r="H221" s="40">
        <v>0.23017725761052787</v>
      </c>
      <c r="I221" s="40">
        <v>-3.5193683839034207E-2</v>
      </c>
      <c r="J221" s="40">
        <v>0.16181123987570611</v>
      </c>
    </row>
    <row r="222" spans="1:10" ht="11.25" customHeight="1" x14ac:dyDescent="0.2">
      <c r="A222" s="47" t="s">
        <v>25</v>
      </c>
      <c r="B222" s="39">
        <v>0</v>
      </c>
      <c r="C222" s="39">
        <v>0</v>
      </c>
      <c r="D222" s="39">
        <v>1397.1315500000003</v>
      </c>
      <c r="E222" s="39">
        <v>1718.7194587001466</v>
      </c>
      <c r="F222" s="39">
        <v>484.84229999999997</v>
      </c>
      <c r="G222" s="39">
        <v>467.77891338200982</v>
      </c>
      <c r="H222" s="40">
        <v>0.23017725761052787</v>
      </c>
      <c r="I222" s="40">
        <v>-3.5193683839034207E-2</v>
      </c>
      <c r="J222" s="40">
        <v>0.16181123987570611</v>
      </c>
    </row>
    <row r="223" spans="1:10" ht="11.25" customHeight="1" x14ac:dyDescent="0.2">
      <c r="A223" s="48" t="s">
        <v>25</v>
      </c>
      <c r="B223" s="39">
        <v>0</v>
      </c>
      <c r="C223" s="39">
        <v>0</v>
      </c>
      <c r="D223" s="39">
        <v>1397.1315500000003</v>
      </c>
      <c r="E223" s="39">
        <v>1718.7194587001466</v>
      </c>
      <c r="F223" s="39">
        <v>484.84229999999997</v>
      </c>
      <c r="G223" s="39">
        <v>467.77891338200982</v>
      </c>
      <c r="H223" s="40">
        <v>0.23017725761052787</v>
      </c>
      <c r="I223" s="40">
        <v>-3.5193683839034207E-2</v>
      </c>
      <c r="J223" s="40">
        <v>0.16181123987570611</v>
      </c>
    </row>
    <row r="224" spans="1:10" ht="11.25" customHeight="1" x14ac:dyDescent="0.2">
      <c r="A224" s="49">
        <v>44531</v>
      </c>
      <c r="B224" s="39">
        <v>0</v>
      </c>
      <c r="C224" s="39">
        <v>0</v>
      </c>
      <c r="D224" s="39">
        <v>436.94398999999999</v>
      </c>
      <c r="E224" s="39">
        <v>537.51855934760204</v>
      </c>
      <c r="F224" s="39">
        <v>151.63133999999999</v>
      </c>
      <c r="G224" s="39">
        <v>146.2948745599509</v>
      </c>
      <c r="H224" s="40">
        <v>0.2301772576105281</v>
      </c>
      <c r="I224" s="40">
        <v>-3.5193683839034207E-2</v>
      </c>
      <c r="J224" s="40">
        <v>0.16181123987570634</v>
      </c>
    </row>
    <row r="225" spans="1:10" ht="11.25" customHeight="1" x14ac:dyDescent="0.2">
      <c r="A225" s="49">
        <v>44562</v>
      </c>
      <c r="B225" s="39">
        <v>0</v>
      </c>
      <c r="C225" s="39">
        <v>0</v>
      </c>
      <c r="D225" s="39">
        <v>494.75633000000005</v>
      </c>
      <c r="E225" s="39">
        <v>608.63798522484956</v>
      </c>
      <c r="F225" s="39">
        <v>171.69378</v>
      </c>
      <c r="G225" s="39">
        <v>165.65124338955133</v>
      </c>
      <c r="H225" s="40">
        <v>0.2301772576105281</v>
      </c>
      <c r="I225" s="40">
        <v>-3.5193683839034096E-2</v>
      </c>
      <c r="J225" s="40">
        <v>0.16181123987570634</v>
      </c>
    </row>
    <row r="226" spans="1:10" ht="11.25" customHeight="1" x14ac:dyDescent="0.2">
      <c r="A226" s="49">
        <v>44593</v>
      </c>
      <c r="B226" s="39">
        <v>0</v>
      </c>
      <c r="C226" s="39">
        <v>0</v>
      </c>
      <c r="D226" s="39">
        <v>377.03700000000003</v>
      </c>
      <c r="E226" s="39">
        <v>463.82234267770076</v>
      </c>
      <c r="F226" s="39">
        <v>130.84200000000001</v>
      </c>
      <c r="G226" s="39">
        <v>126.2371880191331</v>
      </c>
      <c r="H226" s="40">
        <v>0.2301772576105281</v>
      </c>
      <c r="I226" s="40">
        <v>-3.5193683839034207E-2</v>
      </c>
      <c r="J226" s="40">
        <v>0.16181123987570634</v>
      </c>
    </row>
    <row r="227" spans="1:10" ht="11.25" customHeight="1" x14ac:dyDescent="0.2">
      <c r="A227" s="49">
        <v>44621</v>
      </c>
      <c r="B227" s="39">
        <v>0</v>
      </c>
      <c r="C227" s="39">
        <v>0</v>
      </c>
      <c r="D227" s="39">
        <v>46.50123</v>
      </c>
      <c r="E227" s="39">
        <v>57.204755596916428</v>
      </c>
      <c r="F227" s="39">
        <v>16.137180000000001</v>
      </c>
      <c r="G227" s="39">
        <v>15.569253189026416</v>
      </c>
      <c r="H227" s="40">
        <v>0.23017725761052832</v>
      </c>
      <c r="I227" s="40">
        <v>-3.5193683839034096E-2</v>
      </c>
      <c r="J227" s="40">
        <v>0.16181123987570634</v>
      </c>
    </row>
    <row r="228" spans="1:10" ht="11.25" customHeight="1" x14ac:dyDescent="0.2">
      <c r="A228" s="49">
        <v>44652</v>
      </c>
      <c r="B228" s="39">
        <v>0</v>
      </c>
      <c r="C228" s="39">
        <v>0</v>
      </c>
      <c r="D228" s="39">
        <v>41.893000000000001</v>
      </c>
      <c r="E228" s="39">
        <v>51.535815853077864</v>
      </c>
      <c r="F228" s="39">
        <v>14.538</v>
      </c>
      <c r="G228" s="39">
        <v>14.026354224348124</v>
      </c>
      <c r="H228" s="40">
        <v>0.23017725761052832</v>
      </c>
      <c r="I228" s="40">
        <v>-3.5193683839033985E-2</v>
      </c>
      <c r="J228" s="40">
        <v>0.16181123987570656</v>
      </c>
    </row>
    <row r="229" spans="1:10" ht="11.25" customHeight="1" x14ac:dyDescent="0.2">
      <c r="A229" s="46" t="s">
        <v>52</v>
      </c>
      <c r="B229" s="39">
        <v>0</v>
      </c>
      <c r="C229" s="39">
        <v>0</v>
      </c>
      <c r="D229" s="39">
        <v>84.456288000000001</v>
      </c>
      <c r="E229" s="39">
        <v>103.89620475980497</v>
      </c>
      <c r="F229" s="39">
        <v>29.308608</v>
      </c>
      <c r="G229" s="39">
        <v>28.277130116285814</v>
      </c>
      <c r="H229" s="40">
        <v>0.23017725761052832</v>
      </c>
      <c r="I229" s="40">
        <v>-3.5193683839034096E-2</v>
      </c>
      <c r="J229" s="40">
        <v>0.16181123987570656</v>
      </c>
    </row>
    <row r="230" spans="1:10" ht="11.25" customHeight="1" x14ac:dyDescent="0.2">
      <c r="A230" s="47" t="s">
        <v>25</v>
      </c>
      <c r="B230" s="39">
        <v>0</v>
      </c>
      <c r="C230" s="39">
        <v>0</v>
      </c>
      <c r="D230" s="39">
        <v>84.456288000000001</v>
      </c>
      <c r="E230" s="39">
        <v>103.89620475980497</v>
      </c>
      <c r="F230" s="39">
        <v>29.308608</v>
      </c>
      <c r="G230" s="39">
        <v>28.277130116285814</v>
      </c>
      <c r="H230" s="40">
        <v>0.23017725761052832</v>
      </c>
      <c r="I230" s="40">
        <v>-3.5193683839034096E-2</v>
      </c>
      <c r="J230" s="40">
        <v>0.16181123987570656</v>
      </c>
    </row>
    <row r="231" spans="1:10" ht="11.25" customHeight="1" x14ac:dyDescent="0.2">
      <c r="A231" s="48" t="s">
        <v>25</v>
      </c>
      <c r="B231" s="39">
        <v>0</v>
      </c>
      <c r="C231" s="39">
        <v>0</v>
      </c>
      <c r="D231" s="39">
        <v>84.456288000000001</v>
      </c>
      <c r="E231" s="39">
        <v>103.89620475980497</v>
      </c>
      <c r="F231" s="39">
        <v>29.308608</v>
      </c>
      <c r="G231" s="39">
        <v>28.277130116285814</v>
      </c>
      <c r="H231" s="40">
        <v>0.23017725761052832</v>
      </c>
      <c r="I231" s="40">
        <v>-3.5193683839034096E-2</v>
      </c>
      <c r="J231" s="40">
        <v>0.16181123987570656</v>
      </c>
    </row>
    <row r="232" spans="1:10" ht="11.25" customHeight="1" x14ac:dyDescent="0.2">
      <c r="A232" s="49">
        <v>44531</v>
      </c>
      <c r="B232" s="39">
        <v>0</v>
      </c>
      <c r="C232" s="39">
        <v>0</v>
      </c>
      <c r="D232" s="39">
        <v>56.304192</v>
      </c>
      <c r="E232" s="39">
        <v>69.264136506536644</v>
      </c>
      <c r="F232" s="39">
        <v>19.539071999999997</v>
      </c>
      <c r="G232" s="39">
        <v>18.851420077523876</v>
      </c>
      <c r="H232" s="40">
        <v>0.23017725761052832</v>
      </c>
      <c r="I232" s="40">
        <v>-3.5193683839033985E-2</v>
      </c>
      <c r="J232" s="40">
        <v>0.16181123987570634</v>
      </c>
    </row>
    <row r="233" spans="1:10" ht="11.25" customHeight="1" x14ac:dyDescent="0.2">
      <c r="A233" s="49">
        <v>44562</v>
      </c>
      <c r="B233" s="39">
        <v>0</v>
      </c>
      <c r="C233" s="39">
        <v>0</v>
      </c>
      <c r="D233" s="39">
        <v>14.243620000000002</v>
      </c>
      <c r="E233" s="39">
        <v>17.522177390046473</v>
      </c>
      <c r="F233" s="39">
        <v>4.94292</v>
      </c>
      <c r="G233" s="39">
        <v>4.7689604362783617</v>
      </c>
      <c r="H233" s="40">
        <v>0.2301772576105281</v>
      </c>
      <c r="I233" s="40">
        <v>-3.5193683839034096E-2</v>
      </c>
      <c r="J233" s="40">
        <v>0.16181123987570634</v>
      </c>
    </row>
    <row r="234" spans="1:10" ht="11.25" customHeight="1" x14ac:dyDescent="0.2">
      <c r="A234" s="49">
        <v>44593</v>
      </c>
      <c r="B234" s="39">
        <v>0</v>
      </c>
      <c r="C234" s="39">
        <v>0</v>
      </c>
      <c r="D234" s="39">
        <v>13.908476</v>
      </c>
      <c r="E234" s="39">
        <v>17.10989086322185</v>
      </c>
      <c r="F234" s="39">
        <v>4.8266159999999996</v>
      </c>
      <c r="G234" s="39">
        <v>4.6567496024835764</v>
      </c>
      <c r="H234" s="40">
        <v>0.23017725761052832</v>
      </c>
      <c r="I234" s="40">
        <v>-3.5193683839034096E-2</v>
      </c>
      <c r="J234" s="40">
        <v>0.16181123987570611</v>
      </c>
    </row>
    <row r="235" spans="1:10" ht="11.25" customHeight="1" x14ac:dyDescent="0.2">
      <c r="A235" s="45" t="s">
        <v>50</v>
      </c>
      <c r="B235" s="39">
        <v>0</v>
      </c>
      <c r="C235" s="39">
        <v>0</v>
      </c>
      <c r="D235" s="39">
        <v>7242.6294119999993</v>
      </c>
      <c r="E235" s="39">
        <v>8909.7179879435134</v>
      </c>
      <c r="F235" s="39">
        <v>2513.387592</v>
      </c>
      <c r="G235" s="39">
        <v>2424.9322237222009</v>
      </c>
      <c r="H235" s="40">
        <v>0.23017725761052854</v>
      </c>
      <c r="I235" s="40">
        <v>-3.5193683839034096E-2</v>
      </c>
      <c r="J235" s="40">
        <v>0.16181123987570634</v>
      </c>
    </row>
    <row r="236" spans="1:10" ht="11.25" customHeight="1" x14ac:dyDescent="0.2">
      <c r="A236" s="46" t="s">
        <v>51</v>
      </c>
      <c r="B236" s="39">
        <v>0</v>
      </c>
      <c r="C236" s="39">
        <v>0</v>
      </c>
      <c r="D236" s="39">
        <v>3467.06468</v>
      </c>
      <c r="E236" s="39">
        <v>4265.1041200007239</v>
      </c>
      <c r="F236" s="39">
        <v>1203.16488</v>
      </c>
      <c r="G236" s="39">
        <v>1160.8210756070507</v>
      </c>
      <c r="H236" s="40">
        <v>0.23017725761052832</v>
      </c>
      <c r="I236" s="40">
        <v>-3.5193683839033985E-2</v>
      </c>
      <c r="J236" s="40">
        <v>0.16181123987570656</v>
      </c>
    </row>
    <row r="237" spans="1:10" ht="11.25" customHeight="1" x14ac:dyDescent="0.2">
      <c r="A237" s="47" t="s">
        <v>25</v>
      </c>
      <c r="B237" s="39">
        <v>0</v>
      </c>
      <c r="C237" s="39">
        <v>0</v>
      </c>
      <c r="D237" s="39">
        <v>3467.06468</v>
      </c>
      <c r="E237" s="39">
        <v>4265.1041200007239</v>
      </c>
      <c r="F237" s="39">
        <v>1203.16488</v>
      </c>
      <c r="G237" s="39">
        <v>1160.8210756070507</v>
      </c>
      <c r="H237" s="40">
        <v>0.23017725761052832</v>
      </c>
      <c r="I237" s="40">
        <v>-3.5193683839033985E-2</v>
      </c>
      <c r="J237" s="40">
        <v>0.16181123987570656</v>
      </c>
    </row>
    <row r="238" spans="1:10" ht="11.25" customHeight="1" x14ac:dyDescent="0.2">
      <c r="A238" s="48" t="s">
        <v>25</v>
      </c>
      <c r="B238" s="39">
        <v>0</v>
      </c>
      <c r="C238" s="39">
        <v>0</v>
      </c>
      <c r="D238" s="39">
        <v>3467.06468</v>
      </c>
      <c r="E238" s="39">
        <v>4265.1041200007239</v>
      </c>
      <c r="F238" s="39">
        <v>1203.16488</v>
      </c>
      <c r="G238" s="39">
        <v>1160.8210756070507</v>
      </c>
      <c r="H238" s="40">
        <v>0.23017725761052832</v>
      </c>
      <c r="I238" s="40">
        <v>-3.5193683839033985E-2</v>
      </c>
      <c r="J238" s="40">
        <v>0.16181123987570656</v>
      </c>
    </row>
    <row r="239" spans="1:10" ht="11.25" customHeight="1" x14ac:dyDescent="0.2">
      <c r="A239" s="49">
        <v>44440</v>
      </c>
      <c r="B239" s="39">
        <v>0</v>
      </c>
      <c r="C239" s="39">
        <v>0</v>
      </c>
      <c r="D239" s="39">
        <v>42.311930000000004</v>
      </c>
      <c r="E239" s="39">
        <v>52.051174011608644</v>
      </c>
      <c r="F239" s="39">
        <v>14.68338</v>
      </c>
      <c r="G239" s="39">
        <v>14.166617766591605</v>
      </c>
      <c r="H239" s="40">
        <v>0.23017725761052832</v>
      </c>
      <c r="I239" s="40">
        <v>-3.5193683839033985E-2</v>
      </c>
      <c r="J239" s="40">
        <v>0.16181123987570634</v>
      </c>
    </row>
    <row r="240" spans="1:10" ht="11.25" customHeight="1" x14ac:dyDescent="0.2">
      <c r="A240" s="49">
        <v>44470</v>
      </c>
      <c r="B240" s="39">
        <v>0</v>
      </c>
      <c r="C240" s="39">
        <v>0</v>
      </c>
      <c r="D240" s="39">
        <v>36.865839999999999</v>
      </c>
      <c r="E240" s="39">
        <v>45.351517950708512</v>
      </c>
      <c r="F240" s="39">
        <v>12.793439999999999</v>
      </c>
      <c r="G240" s="39">
        <v>12.343191717426347</v>
      </c>
      <c r="H240" s="40">
        <v>0.2301772576105281</v>
      </c>
      <c r="I240" s="40">
        <v>-3.5193683839034096E-2</v>
      </c>
      <c r="J240" s="40">
        <v>0.16181123987570634</v>
      </c>
    </row>
    <row r="241" spans="1:10" ht="11.25" customHeight="1" x14ac:dyDescent="0.2">
      <c r="A241" s="49">
        <v>44501</v>
      </c>
      <c r="B241" s="39">
        <v>0</v>
      </c>
      <c r="C241" s="39">
        <v>0</v>
      </c>
      <c r="D241" s="39">
        <v>51.947319999999998</v>
      </c>
      <c r="E241" s="39">
        <v>63.904411657816546</v>
      </c>
      <c r="F241" s="39">
        <v>18.02712</v>
      </c>
      <c r="G241" s="39">
        <v>17.392679238191672</v>
      </c>
      <c r="H241" s="40">
        <v>0.23017725761052832</v>
      </c>
      <c r="I241" s="40">
        <v>-3.5193683839034096E-2</v>
      </c>
      <c r="J241" s="40">
        <v>0.16181123987570611</v>
      </c>
    </row>
    <row r="242" spans="1:10" ht="11.25" customHeight="1" x14ac:dyDescent="0.2">
      <c r="A242" s="49">
        <v>44531</v>
      </c>
      <c r="B242" s="39">
        <v>0</v>
      </c>
      <c r="C242" s="39">
        <v>0</v>
      </c>
      <c r="D242" s="39">
        <v>208.62714</v>
      </c>
      <c r="E242" s="39">
        <v>256.64836294832776</v>
      </c>
      <c r="F242" s="39">
        <v>72.399239999999992</v>
      </c>
      <c r="G242" s="39">
        <v>69.85124403725365</v>
      </c>
      <c r="H242" s="40">
        <v>0.23017725761052832</v>
      </c>
      <c r="I242" s="40">
        <v>-3.5193683839033985E-2</v>
      </c>
      <c r="J242" s="40">
        <v>0.16181123987570634</v>
      </c>
    </row>
    <row r="243" spans="1:10" ht="11.25" customHeight="1" x14ac:dyDescent="0.2">
      <c r="A243" s="49">
        <v>44562</v>
      </c>
      <c r="B243" s="39">
        <v>0</v>
      </c>
      <c r="C243" s="39">
        <v>0</v>
      </c>
      <c r="D243" s="39">
        <v>248.00655999999998</v>
      </c>
      <c r="E243" s="39">
        <v>305.09202985022091</v>
      </c>
      <c r="F243" s="39">
        <v>86.064959999999999</v>
      </c>
      <c r="G243" s="39">
        <v>83.036017008140888</v>
      </c>
      <c r="H243" s="40">
        <v>0.23017725761052832</v>
      </c>
      <c r="I243" s="40">
        <v>-3.5193683839034096E-2</v>
      </c>
      <c r="J243" s="40">
        <v>0.16181123987570634</v>
      </c>
    </row>
    <row r="244" spans="1:10" ht="11.25" customHeight="1" x14ac:dyDescent="0.2">
      <c r="A244" s="49">
        <v>44593</v>
      </c>
      <c r="B244" s="39">
        <v>0</v>
      </c>
      <c r="C244" s="39">
        <v>0</v>
      </c>
      <c r="D244" s="39">
        <v>304.56211000000002</v>
      </c>
      <c r="E244" s="39">
        <v>374.66538125187606</v>
      </c>
      <c r="F244" s="39">
        <v>105.69126</v>
      </c>
      <c r="G244" s="39">
        <v>101.97159521101085</v>
      </c>
      <c r="H244" s="40">
        <v>0.23017725761052832</v>
      </c>
      <c r="I244" s="40">
        <v>-3.5193683839034096E-2</v>
      </c>
      <c r="J244" s="40">
        <v>0.16181123987570611</v>
      </c>
    </row>
    <row r="245" spans="1:10" ht="11.25" customHeight="1" x14ac:dyDescent="0.2">
      <c r="A245" s="49">
        <v>44621</v>
      </c>
      <c r="B245" s="39">
        <v>0</v>
      </c>
      <c r="C245" s="39">
        <v>0</v>
      </c>
      <c r="D245" s="39">
        <v>402.59172999999998</v>
      </c>
      <c r="E245" s="39">
        <v>495.25919034807822</v>
      </c>
      <c r="F245" s="39">
        <v>139.71017999999998</v>
      </c>
      <c r="G245" s="39">
        <v>134.79326409598545</v>
      </c>
      <c r="H245" s="40">
        <v>0.23017725761052832</v>
      </c>
      <c r="I245" s="40">
        <v>-3.5193683839033985E-2</v>
      </c>
      <c r="J245" s="40">
        <v>0.16181123987570634</v>
      </c>
    </row>
    <row r="246" spans="1:10" ht="11.25" customHeight="1" x14ac:dyDescent="0.2">
      <c r="A246" s="49">
        <v>44652</v>
      </c>
      <c r="B246" s="39">
        <v>0</v>
      </c>
      <c r="C246" s="39">
        <v>0</v>
      </c>
      <c r="D246" s="39">
        <v>388.34811000000002</v>
      </c>
      <c r="E246" s="39">
        <v>477.73701295803181</v>
      </c>
      <c r="F246" s="39">
        <v>134.76725999999999</v>
      </c>
      <c r="G246" s="39">
        <v>130.0243036597071</v>
      </c>
      <c r="H246" s="40">
        <v>0.23017725761052832</v>
      </c>
      <c r="I246" s="40">
        <v>-3.5193683839033985E-2</v>
      </c>
      <c r="J246" s="40">
        <v>0.16181123987570634</v>
      </c>
    </row>
    <row r="247" spans="1:10" ht="11.25" customHeight="1" x14ac:dyDescent="0.2">
      <c r="A247" s="49">
        <v>44682</v>
      </c>
      <c r="B247" s="39">
        <v>0</v>
      </c>
      <c r="C247" s="39">
        <v>0</v>
      </c>
      <c r="D247" s="39">
        <v>429.82218</v>
      </c>
      <c r="E247" s="39">
        <v>528.75747065257883</v>
      </c>
      <c r="F247" s="39">
        <v>149.15987999999999</v>
      </c>
      <c r="G247" s="39">
        <v>143.91039434181175</v>
      </c>
      <c r="H247" s="40">
        <v>0.23017725761052832</v>
      </c>
      <c r="I247" s="40">
        <v>-3.5193683839033874E-2</v>
      </c>
      <c r="J247" s="40">
        <v>0.16181123987570611</v>
      </c>
    </row>
    <row r="248" spans="1:10" ht="11.25" customHeight="1" x14ac:dyDescent="0.2">
      <c r="A248" s="49">
        <v>44713</v>
      </c>
      <c r="B248" s="39">
        <v>0</v>
      </c>
      <c r="C248" s="39">
        <v>0</v>
      </c>
      <c r="D248" s="39">
        <v>440.71436</v>
      </c>
      <c r="E248" s="39">
        <v>542.15678277437917</v>
      </c>
      <c r="F248" s="39">
        <v>152.93976000000001</v>
      </c>
      <c r="G248" s="39">
        <v>147.55724644014225</v>
      </c>
      <c r="H248" s="40">
        <v>0.23017725761052854</v>
      </c>
      <c r="I248" s="40">
        <v>-3.5193683839034096E-2</v>
      </c>
      <c r="J248" s="40">
        <v>0.16181123987570634</v>
      </c>
    </row>
    <row r="249" spans="1:10" ht="11.25" customHeight="1" x14ac:dyDescent="0.2">
      <c r="A249" s="49">
        <v>44743</v>
      </c>
      <c r="B249" s="39">
        <v>0</v>
      </c>
      <c r="C249" s="39">
        <v>0</v>
      </c>
      <c r="D249" s="39">
        <v>361.95551999999998</v>
      </c>
      <c r="E249" s="39">
        <v>445.26944897059269</v>
      </c>
      <c r="F249" s="39">
        <v>125.60831999999999</v>
      </c>
      <c r="G249" s="39">
        <v>121.18770049836778</v>
      </c>
      <c r="H249" s="40">
        <v>0.23017725761052832</v>
      </c>
      <c r="I249" s="40">
        <v>-3.5193683839034096E-2</v>
      </c>
      <c r="J249" s="40">
        <v>0.16181123987570634</v>
      </c>
    </row>
    <row r="250" spans="1:10" ht="11.25" customHeight="1" x14ac:dyDescent="0.2">
      <c r="A250" s="49">
        <v>44774</v>
      </c>
      <c r="B250" s="39">
        <v>0</v>
      </c>
      <c r="C250" s="39">
        <v>0</v>
      </c>
      <c r="D250" s="39">
        <v>551.31188000000009</v>
      </c>
      <c r="E250" s="39">
        <v>678.2113366265047</v>
      </c>
      <c r="F250" s="39">
        <v>191.32007999999999</v>
      </c>
      <c r="G250" s="39">
        <v>184.5868215924213</v>
      </c>
      <c r="H250" s="40">
        <v>0.2301772576105281</v>
      </c>
      <c r="I250" s="40">
        <v>-3.5193683839033985E-2</v>
      </c>
      <c r="J250" s="40">
        <v>0.16181123987570634</v>
      </c>
    </row>
    <row r="251" spans="1:10" ht="11.25" customHeight="1" x14ac:dyDescent="0.2">
      <c r="A251" s="46" t="s">
        <v>52</v>
      </c>
      <c r="B251" s="39">
        <v>0</v>
      </c>
      <c r="C251" s="39">
        <v>0</v>
      </c>
      <c r="D251" s="39">
        <v>3775.5647319999998</v>
      </c>
      <c r="E251" s="39">
        <v>4644.6138679427895</v>
      </c>
      <c r="F251" s="39">
        <v>1310.222712</v>
      </c>
      <c r="G251" s="39">
        <v>1264.1111481151502</v>
      </c>
      <c r="H251" s="40">
        <v>0.23017725761052832</v>
      </c>
      <c r="I251" s="40">
        <v>-3.5193683839034096E-2</v>
      </c>
      <c r="J251" s="40">
        <v>0.16181123987570656</v>
      </c>
    </row>
    <row r="252" spans="1:10" ht="11.25" customHeight="1" x14ac:dyDescent="0.2">
      <c r="A252" s="47" t="s">
        <v>25</v>
      </c>
      <c r="B252" s="39">
        <v>0</v>
      </c>
      <c r="C252" s="39">
        <v>0</v>
      </c>
      <c r="D252" s="39">
        <v>3775.5647319999998</v>
      </c>
      <c r="E252" s="39">
        <v>4644.6138679427895</v>
      </c>
      <c r="F252" s="39">
        <v>1310.222712</v>
      </c>
      <c r="G252" s="39">
        <v>1264.1111481151502</v>
      </c>
      <c r="H252" s="40">
        <v>0.23017725761052832</v>
      </c>
      <c r="I252" s="40">
        <v>-3.5193683839034096E-2</v>
      </c>
      <c r="J252" s="40">
        <v>0.16181123987570656</v>
      </c>
    </row>
    <row r="253" spans="1:10" ht="11.25" customHeight="1" x14ac:dyDescent="0.2">
      <c r="A253" s="48" t="s">
        <v>25</v>
      </c>
      <c r="B253" s="39">
        <v>0</v>
      </c>
      <c r="C253" s="39">
        <v>0</v>
      </c>
      <c r="D253" s="39">
        <v>3775.5647319999998</v>
      </c>
      <c r="E253" s="39">
        <v>4644.6138679427895</v>
      </c>
      <c r="F253" s="39">
        <v>1310.222712</v>
      </c>
      <c r="G253" s="39">
        <v>1264.1111481151502</v>
      </c>
      <c r="H253" s="40">
        <v>0.23017725761052832</v>
      </c>
      <c r="I253" s="40">
        <v>-3.5193683839034096E-2</v>
      </c>
      <c r="J253" s="40">
        <v>0.16181123987570656</v>
      </c>
    </row>
    <row r="254" spans="1:10" ht="11.25" customHeight="1" x14ac:dyDescent="0.2">
      <c r="A254" s="49">
        <v>44440</v>
      </c>
      <c r="B254" s="39">
        <v>0</v>
      </c>
      <c r="C254" s="39">
        <v>0</v>
      </c>
      <c r="D254" s="39">
        <v>19.773496000000002</v>
      </c>
      <c r="E254" s="39">
        <v>24.324905082652752</v>
      </c>
      <c r="F254" s="39">
        <v>6.861936</v>
      </c>
      <c r="G254" s="39">
        <v>6.6204391938923139</v>
      </c>
      <c r="H254" s="40">
        <v>0.23017725761052832</v>
      </c>
      <c r="I254" s="40">
        <v>-3.5193683839034096E-2</v>
      </c>
      <c r="J254" s="40">
        <v>0.16181123987570634</v>
      </c>
    </row>
    <row r="255" spans="1:10" ht="11.25" customHeight="1" x14ac:dyDescent="0.2">
      <c r="A255" s="49">
        <v>44470</v>
      </c>
      <c r="B255" s="39">
        <v>0</v>
      </c>
      <c r="C255" s="39">
        <v>0</v>
      </c>
      <c r="D255" s="39">
        <v>19.103208000000002</v>
      </c>
      <c r="E255" s="39">
        <v>23.500332029003506</v>
      </c>
      <c r="F255" s="39">
        <v>6.6293280000000001</v>
      </c>
      <c r="G255" s="39">
        <v>6.3960175263027441</v>
      </c>
      <c r="H255" s="40">
        <v>0.2301772576105281</v>
      </c>
      <c r="I255" s="40">
        <v>-3.5193683839034096E-2</v>
      </c>
      <c r="J255" s="40">
        <v>0.16181123987570634</v>
      </c>
    </row>
    <row r="256" spans="1:10" ht="11.25" customHeight="1" x14ac:dyDescent="0.2">
      <c r="A256" s="49">
        <v>44501</v>
      </c>
      <c r="B256" s="39">
        <v>0</v>
      </c>
      <c r="C256" s="39">
        <v>0</v>
      </c>
      <c r="D256" s="39">
        <v>28.319667999999997</v>
      </c>
      <c r="E256" s="39">
        <v>34.83821151668063</v>
      </c>
      <c r="F256" s="39">
        <v>9.8276879999999984</v>
      </c>
      <c r="G256" s="39">
        <v>9.4818154556593299</v>
      </c>
      <c r="H256" s="40">
        <v>0.23017725761052832</v>
      </c>
      <c r="I256" s="40">
        <v>-3.5193683839033985E-2</v>
      </c>
      <c r="J256" s="40">
        <v>0.16181123987570634</v>
      </c>
    </row>
    <row r="257" spans="1:10" ht="11.25" customHeight="1" x14ac:dyDescent="0.2">
      <c r="A257" s="49">
        <v>44531</v>
      </c>
      <c r="B257" s="39">
        <v>0</v>
      </c>
      <c r="C257" s="39">
        <v>0</v>
      </c>
      <c r="D257" s="39">
        <v>132.88459599999999</v>
      </c>
      <c r="E257" s="39">
        <v>163.47160788596295</v>
      </c>
      <c r="F257" s="39">
        <v>46.114535999999994</v>
      </c>
      <c r="G257" s="39">
        <v>44.491595599632241</v>
      </c>
      <c r="H257" s="40">
        <v>0.23017725761052832</v>
      </c>
      <c r="I257" s="40">
        <v>-3.5193683839033985E-2</v>
      </c>
      <c r="J257" s="40">
        <v>0.16181123987570634</v>
      </c>
    </row>
    <row r="258" spans="1:10" ht="11.25" customHeight="1" x14ac:dyDescent="0.2">
      <c r="A258" s="49">
        <v>44562</v>
      </c>
      <c r="B258" s="39">
        <v>0</v>
      </c>
      <c r="C258" s="39">
        <v>0</v>
      </c>
      <c r="D258" s="39">
        <v>309.17034000000001</v>
      </c>
      <c r="E258" s="39">
        <v>380.33432099571462</v>
      </c>
      <c r="F258" s="39">
        <v>107.29043999999999</v>
      </c>
      <c r="G258" s="39">
        <v>103.51449417568914</v>
      </c>
      <c r="H258" s="40">
        <v>0.23017725761052832</v>
      </c>
      <c r="I258" s="40">
        <v>-3.5193683839034096E-2</v>
      </c>
      <c r="J258" s="40">
        <v>0.16181123987570634</v>
      </c>
    </row>
    <row r="259" spans="1:10" ht="11.25" customHeight="1" x14ac:dyDescent="0.2">
      <c r="A259" s="49">
        <v>44593</v>
      </c>
      <c r="B259" s="39">
        <v>0</v>
      </c>
      <c r="C259" s="39">
        <v>0</v>
      </c>
      <c r="D259" s="39">
        <v>301.12688400000002</v>
      </c>
      <c r="E259" s="39">
        <v>370.43944435192367</v>
      </c>
      <c r="F259" s="39">
        <v>104.499144</v>
      </c>
      <c r="G259" s="39">
        <v>100.8214341646143</v>
      </c>
      <c r="H259" s="40">
        <v>0.23017725761052832</v>
      </c>
      <c r="I259" s="40">
        <v>-3.5193683839034096E-2</v>
      </c>
      <c r="J259" s="40">
        <v>0.16181123987570634</v>
      </c>
    </row>
    <row r="260" spans="1:10" ht="11.25" customHeight="1" x14ac:dyDescent="0.2">
      <c r="A260" s="49">
        <v>44621</v>
      </c>
      <c r="B260" s="39">
        <v>0</v>
      </c>
      <c r="C260" s="39">
        <v>0</v>
      </c>
      <c r="D260" s="39">
        <v>434.68176800000003</v>
      </c>
      <c r="E260" s="39">
        <v>534.73562529153594</v>
      </c>
      <c r="F260" s="39">
        <v>150.84628800000002</v>
      </c>
      <c r="G260" s="39">
        <v>145.53745143183613</v>
      </c>
      <c r="H260" s="40">
        <v>0.23017725761052832</v>
      </c>
      <c r="I260" s="40">
        <v>-3.5193683839034096E-2</v>
      </c>
      <c r="J260" s="40">
        <v>0.16181123987570611</v>
      </c>
    </row>
    <row r="261" spans="1:10" ht="11.25" customHeight="1" x14ac:dyDescent="0.2">
      <c r="A261" s="49">
        <v>44652</v>
      </c>
      <c r="B261" s="39">
        <v>0</v>
      </c>
      <c r="C261" s="39">
        <v>0</v>
      </c>
      <c r="D261" s="39">
        <v>552.48488399999997</v>
      </c>
      <c r="E261" s="39">
        <v>679.65433947039082</v>
      </c>
      <c r="F261" s="39">
        <v>191.72714399999998</v>
      </c>
      <c r="G261" s="39">
        <v>184.97955951070304</v>
      </c>
      <c r="H261" s="40">
        <v>0.23017725761052832</v>
      </c>
      <c r="I261" s="40">
        <v>-3.5193683839033985E-2</v>
      </c>
      <c r="J261" s="40">
        <v>0.16181123987570634</v>
      </c>
    </row>
    <row r="262" spans="1:10" ht="11.25" customHeight="1" x14ac:dyDescent="0.2">
      <c r="A262" s="49">
        <v>44682</v>
      </c>
      <c r="B262" s="39">
        <v>0</v>
      </c>
      <c r="C262" s="39">
        <v>0</v>
      </c>
      <c r="D262" s="39">
        <v>494.50497199999995</v>
      </c>
      <c r="E262" s="39">
        <v>608.32877032973101</v>
      </c>
      <c r="F262" s="39">
        <v>171.60655199999997</v>
      </c>
      <c r="G262" s="39">
        <v>165.56708526420522</v>
      </c>
      <c r="H262" s="40">
        <v>0.23017725761052832</v>
      </c>
      <c r="I262" s="40">
        <v>-3.5193683839033985E-2</v>
      </c>
      <c r="J262" s="40">
        <v>0.16181123987570634</v>
      </c>
    </row>
    <row r="263" spans="1:10" ht="11.25" customHeight="1" x14ac:dyDescent="0.2">
      <c r="A263" s="49">
        <v>44713</v>
      </c>
      <c r="B263" s="39">
        <v>0</v>
      </c>
      <c r="C263" s="39">
        <v>0</v>
      </c>
      <c r="D263" s="39">
        <v>534.72225200000003</v>
      </c>
      <c r="E263" s="39">
        <v>657.80315354868583</v>
      </c>
      <c r="F263" s="39">
        <v>185.56303199999999</v>
      </c>
      <c r="G263" s="39">
        <v>179.03238531957945</v>
      </c>
      <c r="H263" s="40">
        <v>0.23017725761052832</v>
      </c>
      <c r="I263" s="40">
        <v>-3.5193683839033985E-2</v>
      </c>
      <c r="J263" s="40">
        <v>0.16181123987570634</v>
      </c>
    </row>
    <row r="264" spans="1:10" ht="11.25" customHeight="1" x14ac:dyDescent="0.2">
      <c r="A264" s="49">
        <v>44743</v>
      </c>
      <c r="B264" s="39">
        <v>0</v>
      </c>
      <c r="C264" s="39">
        <v>0</v>
      </c>
      <c r="D264" s="39">
        <v>425.46530800000005</v>
      </c>
      <c r="E264" s="39">
        <v>523.39774580385881</v>
      </c>
      <c r="F264" s="39">
        <v>147.64792800000001</v>
      </c>
      <c r="G264" s="39">
        <v>142.45165350247953</v>
      </c>
      <c r="H264" s="40">
        <v>0.23017725761052832</v>
      </c>
      <c r="I264" s="40">
        <v>-3.5193683839034096E-2</v>
      </c>
      <c r="J264" s="40">
        <v>0.16181123987570634</v>
      </c>
    </row>
    <row r="265" spans="1:10" ht="11.25" customHeight="1" x14ac:dyDescent="0.2">
      <c r="A265" s="49">
        <v>44774</v>
      </c>
      <c r="B265" s="39">
        <v>0</v>
      </c>
      <c r="C265" s="39">
        <v>0</v>
      </c>
      <c r="D265" s="39">
        <v>523.32735600000001</v>
      </c>
      <c r="E265" s="39">
        <v>643.78541163664863</v>
      </c>
      <c r="F265" s="39">
        <v>181.60869600000001</v>
      </c>
      <c r="G265" s="39">
        <v>175.21721697055676</v>
      </c>
      <c r="H265" s="40">
        <v>0.23017725761052832</v>
      </c>
      <c r="I265" s="40">
        <v>-3.5193683839034096E-2</v>
      </c>
      <c r="J265" s="40">
        <v>0.16181123987570634</v>
      </c>
    </row>
    <row r="266" spans="1:10" ht="11.25" customHeight="1" x14ac:dyDescent="0.2">
      <c r="A266" s="45" t="s">
        <v>25</v>
      </c>
      <c r="B266" s="39">
        <v>0</v>
      </c>
      <c r="C266" s="39">
        <v>0</v>
      </c>
      <c r="D266" s="39">
        <v>1361008.89182</v>
      </c>
      <c r="E266" s="39">
        <v>1674282.1861226717</v>
      </c>
      <c r="F266" s="39">
        <v>472306.76412000001</v>
      </c>
      <c r="G266" s="39">
        <v>455684.54918852338</v>
      </c>
      <c r="H266" s="40">
        <v>0.2301772576105281</v>
      </c>
      <c r="I266" s="40">
        <v>-3.5193683839033985E-2</v>
      </c>
      <c r="J266" s="40">
        <v>0.16181123987570611</v>
      </c>
    </row>
    <row r="267" spans="1:10" ht="11.25" customHeight="1" x14ac:dyDescent="0.2">
      <c r="A267" s="46" t="s">
        <v>25</v>
      </c>
      <c r="B267" s="39">
        <v>0</v>
      </c>
      <c r="C267" s="39">
        <v>0</v>
      </c>
      <c r="D267" s="39">
        <v>1361008.89182</v>
      </c>
      <c r="E267" s="39">
        <v>1674282.1861226717</v>
      </c>
      <c r="F267" s="39">
        <v>472306.76412000001</v>
      </c>
      <c r="G267" s="39">
        <v>455684.54918852338</v>
      </c>
      <c r="H267" s="40">
        <v>0.2301772576105281</v>
      </c>
      <c r="I267" s="40">
        <v>-3.5193683839033985E-2</v>
      </c>
      <c r="J267" s="40">
        <v>0.16181123987570611</v>
      </c>
    </row>
    <row r="268" spans="1:10" ht="11.25" customHeight="1" x14ac:dyDescent="0.2">
      <c r="A268" s="47" t="s">
        <v>25</v>
      </c>
      <c r="B268" s="39">
        <v>0</v>
      </c>
      <c r="C268" s="39">
        <v>0</v>
      </c>
      <c r="D268" s="39">
        <v>1361008.89182</v>
      </c>
      <c r="E268" s="39">
        <v>1674282.1861226717</v>
      </c>
      <c r="F268" s="39">
        <v>472306.76412000001</v>
      </c>
      <c r="G268" s="39">
        <v>455684.54918852338</v>
      </c>
      <c r="H268" s="40">
        <v>0.2301772576105281</v>
      </c>
      <c r="I268" s="40">
        <v>-3.5193683839033985E-2</v>
      </c>
      <c r="J268" s="40">
        <v>0.16181123987570611</v>
      </c>
    </row>
    <row r="269" spans="1:10" ht="11.25" customHeight="1" x14ac:dyDescent="0.2">
      <c r="A269" s="48" t="s">
        <v>25</v>
      </c>
      <c r="B269" s="39">
        <v>0</v>
      </c>
      <c r="C269" s="39">
        <v>0</v>
      </c>
      <c r="D269" s="39">
        <v>1361008.89182</v>
      </c>
      <c r="E269" s="39">
        <v>1674282.1861226717</v>
      </c>
      <c r="F269" s="39">
        <v>472306.76412000001</v>
      </c>
      <c r="G269" s="39">
        <v>455684.54918852338</v>
      </c>
      <c r="H269" s="40">
        <v>0.2301772576105281</v>
      </c>
      <c r="I269" s="40">
        <v>-3.5193683839033985E-2</v>
      </c>
      <c r="J269" s="40">
        <v>0.16181123987570611</v>
      </c>
    </row>
    <row r="270" spans="1:10" ht="11.25" customHeight="1" x14ac:dyDescent="0.2">
      <c r="A270" s="49">
        <v>44440</v>
      </c>
      <c r="B270" s="39">
        <v>0</v>
      </c>
      <c r="C270" s="39">
        <v>0</v>
      </c>
      <c r="D270" s="39">
        <v>116701.74902999999</v>
      </c>
      <c r="E270" s="39">
        <v>143563.83758007752</v>
      </c>
      <c r="F270" s="39">
        <v>40498.651979999988</v>
      </c>
      <c r="G270" s="39">
        <v>39073.355226308806</v>
      </c>
      <c r="H270" s="40">
        <v>0.23017725761052832</v>
      </c>
      <c r="I270" s="40">
        <v>-3.5193683839033874E-2</v>
      </c>
      <c r="J270" s="40">
        <v>0.16181123987570656</v>
      </c>
    </row>
    <row r="271" spans="1:10" ht="11.25" customHeight="1" x14ac:dyDescent="0.2">
      <c r="A271" s="49">
        <v>44470</v>
      </c>
      <c r="B271" s="39">
        <v>0</v>
      </c>
      <c r="C271" s="39">
        <v>0</v>
      </c>
      <c r="D271" s="39">
        <v>100128.4593</v>
      </c>
      <c r="E271" s="39">
        <v>123175.75347044138</v>
      </c>
      <c r="F271" s="39">
        <v>34747.273800000003</v>
      </c>
      <c r="G271" s="39">
        <v>33524.389231614448</v>
      </c>
      <c r="H271" s="40">
        <v>0.2301772576105281</v>
      </c>
      <c r="I271" s="40">
        <v>-3.5193683839034096E-2</v>
      </c>
      <c r="J271" s="40">
        <v>0.16181123987570611</v>
      </c>
    </row>
    <row r="272" spans="1:10" ht="11.25" customHeight="1" x14ac:dyDescent="0.2">
      <c r="A272" s="49">
        <v>44501</v>
      </c>
      <c r="B272" s="39">
        <v>0</v>
      </c>
      <c r="C272" s="39">
        <v>0</v>
      </c>
      <c r="D272" s="39">
        <v>113147.12798</v>
      </c>
      <c r="E272" s="39">
        <v>139191.02360494388</v>
      </c>
      <c r="F272" s="39">
        <v>39265.102680000004</v>
      </c>
      <c r="G272" s="39">
        <v>37883.219070372877</v>
      </c>
      <c r="H272" s="40">
        <v>0.23017725761052832</v>
      </c>
      <c r="I272" s="40">
        <v>-3.5193683839033985E-2</v>
      </c>
      <c r="J272" s="40">
        <v>0.16181123987570634</v>
      </c>
    </row>
    <row r="273" spans="1:10" ht="11.25" customHeight="1" x14ac:dyDescent="0.2">
      <c r="A273" s="49">
        <v>44531</v>
      </c>
      <c r="B273" s="39">
        <v>0</v>
      </c>
      <c r="C273" s="39">
        <v>0</v>
      </c>
      <c r="D273" s="39">
        <v>130665.94272000001</v>
      </c>
      <c r="E273" s="39">
        <v>160742.27107838399</v>
      </c>
      <c r="F273" s="39">
        <v>45344.603520000004</v>
      </c>
      <c r="G273" s="39">
        <v>43748.759879910765</v>
      </c>
      <c r="H273" s="40">
        <v>0.23017725761052832</v>
      </c>
      <c r="I273" s="40">
        <v>-3.5193683839034207E-2</v>
      </c>
      <c r="J273" s="40">
        <v>0.16181123987570634</v>
      </c>
    </row>
    <row r="274" spans="1:10" ht="11.25" customHeight="1" x14ac:dyDescent="0.2">
      <c r="A274" s="49">
        <v>44562</v>
      </c>
      <c r="B274" s="39">
        <v>0</v>
      </c>
      <c r="C274" s="39">
        <v>0</v>
      </c>
      <c r="D274" s="39">
        <v>142420.69959</v>
      </c>
      <c r="E274" s="39">
        <v>175202.70564859908</v>
      </c>
      <c r="F274" s="39">
        <v>49423.820939999998</v>
      </c>
      <c r="G274" s="39">
        <v>47684.414611720611</v>
      </c>
      <c r="H274" s="40">
        <v>0.2301772576105281</v>
      </c>
      <c r="I274" s="40">
        <v>-3.5193683839033985E-2</v>
      </c>
      <c r="J274" s="40">
        <v>0.16181123987570611</v>
      </c>
    </row>
    <row r="275" spans="1:10" ht="11.25" customHeight="1" x14ac:dyDescent="0.2">
      <c r="A275" s="49">
        <v>44593</v>
      </c>
      <c r="B275" s="39">
        <v>0</v>
      </c>
      <c r="C275" s="39">
        <v>0</v>
      </c>
      <c r="D275" s="39">
        <v>116488.51366</v>
      </c>
      <c r="E275" s="39">
        <v>143301.52027738534</v>
      </c>
      <c r="F275" s="39">
        <v>40424.653559999999</v>
      </c>
      <c r="G275" s="39">
        <v>39001.96108330688</v>
      </c>
      <c r="H275" s="40">
        <v>0.2301772576105281</v>
      </c>
      <c r="I275" s="40">
        <v>-3.5193683839033985E-2</v>
      </c>
      <c r="J275" s="40">
        <v>0.16181123987570611</v>
      </c>
    </row>
    <row r="276" spans="1:10" ht="11.25" customHeight="1" x14ac:dyDescent="0.2">
      <c r="A276" s="49">
        <v>44621</v>
      </c>
      <c r="B276" s="39">
        <v>0</v>
      </c>
      <c r="C276" s="39">
        <v>0</v>
      </c>
      <c r="D276" s="39">
        <v>113282.8613</v>
      </c>
      <c r="E276" s="39">
        <v>139357.99964830786</v>
      </c>
      <c r="F276" s="39">
        <v>39312.205800000003</v>
      </c>
      <c r="G276" s="39">
        <v>37928.664458059757</v>
      </c>
      <c r="H276" s="40">
        <v>0.23017725761052832</v>
      </c>
      <c r="I276" s="40">
        <v>-3.5193683839034207E-2</v>
      </c>
      <c r="J276" s="40">
        <v>0.16181123987570634</v>
      </c>
    </row>
    <row r="277" spans="1:10" ht="11.25" customHeight="1" x14ac:dyDescent="0.2">
      <c r="A277" s="49">
        <v>44652</v>
      </c>
      <c r="B277" s="39">
        <v>0</v>
      </c>
      <c r="C277" s="39">
        <v>0</v>
      </c>
      <c r="D277" s="39">
        <v>110913.39322000001</v>
      </c>
      <c r="E277" s="39">
        <v>136443.13390365776</v>
      </c>
      <c r="F277" s="39">
        <v>38489.936520000003</v>
      </c>
      <c r="G277" s="39">
        <v>37135.333863130625</v>
      </c>
      <c r="H277" s="40">
        <v>0.2301772576105281</v>
      </c>
      <c r="I277" s="40">
        <v>-3.5193683839034207E-2</v>
      </c>
      <c r="J277" s="40">
        <v>0.16181123987570611</v>
      </c>
    </row>
    <row r="278" spans="1:10" ht="11.25" customHeight="1" x14ac:dyDescent="0.2">
      <c r="A278" s="49">
        <v>44682</v>
      </c>
      <c r="B278" s="39">
        <v>0</v>
      </c>
      <c r="C278" s="39">
        <v>0</v>
      </c>
      <c r="D278" s="39">
        <v>99478.698869999993</v>
      </c>
      <c r="E278" s="39">
        <v>122376.43296656017</v>
      </c>
      <c r="F278" s="39">
        <v>34521.789419999994</v>
      </c>
      <c r="G278" s="39">
        <v>33306.840477594807</v>
      </c>
      <c r="H278" s="40">
        <v>0.23017725761052854</v>
      </c>
      <c r="I278" s="40">
        <v>-3.5193683839033874E-2</v>
      </c>
      <c r="J278" s="40">
        <v>0.16181123987570656</v>
      </c>
    </row>
    <row r="279" spans="1:10" ht="11.25" customHeight="1" x14ac:dyDescent="0.2">
      <c r="A279" s="49">
        <v>44713</v>
      </c>
      <c r="B279" s="39">
        <v>0</v>
      </c>
      <c r="C279" s="39">
        <v>0</v>
      </c>
      <c r="D279" s="39">
        <v>115405.99854</v>
      </c>
      <c r="E279" s="39">
        <v>141969.83479574183</v>
      </c>
      <c r="F279" s="39">
        <v>40048.99164</v>
      </c>
      <c r="G279" s="39">
        <v>38639.520090149716</v>
      </c>
      <c r="H279" s="40">
        <v>0.23017725761052832</v>
      </c>
      <c r="I279" s="40">
        <v>-3.5193683839034207E-2</v>
      </c>
      <c r="J279" s="40">
        <v>0.16181123987570634</v>
      </c>
    </row>
    <row r="280" spans="1:10" ht="11.25" customHeight="1" x14ac:dyDescent="0.2">
      <c r="A280" s="49">
        <v>44743</v>
      </c>
      <c r="B280" s="39">
        <v>0</v>
      </c>
      <c r="C280" s="39">
        <v>0</v>
      </c>
      <c r="D280" s="39">
        <v>96544.094219999999</v>
      </c>
      <c r="E280" s="39">
        <v>118766.34906605205</v>
      </c>
      <c r="F280" s="39">
        <v>33503.402520000003</v>
      </c>
      <c r="G280" s="39">
        <v>32324.294364179223</v>
      </c>
      <c r="H280" s="40">
        <v>0.23017725761052832</v>
      </c>
      <c r="I280" s="40">
        <v>-3.5193683839034207E-2</v>
      </c>
      <c r="J280" s="40">
        <v>0.16181123987570611</v>
      </c>
    </row>
    <row r="281" spans="1:10" ht="11.25" customHeight="1" x14ac:dyDescent="0.2">
      <c r="A281" s="49">
        <v>44774</v>
      </c>
      <c r="B281" s="39">
        <v>0</v>
      </c>
      <c r="C281" s="39">
        <v>0</v>
      </c>
      <c r="D281" s="39">
        <v>105831.35338999999</v>
      </c>
      <c r="E281" s="39">
        <v>130191.32408252088</v>
      </c>
      <c r="F281" s="39">
        <v>36726.331740000001</v>
      </c>
      <c r="G281" s="39">
        <v>35433.796832174958</v>
      </c>
      <c r="H281" s="40">
        <v>0.23017725761052832</v>
      </c>
      <c r="I281" s="40">
        <v>-3.5193683839034096E-2</v>
      </c>
      <c r="J281" s="40">
        <v>0.16181123987570634</v>
      </c>
    </row>
    <row r="282" spans="1:10" ht="11.25" customHeight="1" x14ac:dyDescent="0.2">
      <c r="A282" s="42" t="s">
        <v>33</v>
      </c>
      <c r="B282" s="39">
        <v>0</v>
      </c>
      <c r="C282" s="39">
        <v>0</v>
      </c>
      <c r="D282" s="39">
        <v>2239958.0166236004</v>
      </c>
      <c r="E282" s="39">
        <v>2579642.2912751781</v>
      </c>
      <c r="F282" s="39">
        <v>777346.26712260011</v>
      </c>
      <c r="G282" s="39">
        <v>702093.79536530096</v>
      </c>
      <c r="H282" s="40">
        <v>0.15164760773668506</v>
      </c>
      <c r="I282" s="40">
        <v>-9.6806886377484691E-2</v>
      </c>
      <c r="J282" s="40">
        <v>8.7638427558909715E-2</v>
      </c>
    </row>
    <row r="283" spans="1:10" ht="11.25" customHeight="1" x14ac:dyDescent="0.2">
      <c r="A283" s="43" t="s">
        <v>23</v>
      </c>
      <c r="B283" s="39">
        <v>0</v>
      </c>
      <c r="C283" s="39">
        <v>0</v>
      </c>
      <c r="D283" s="39">
        <v>2239958.0166236004</v>
      </c>
      <c r="E283" s="39">
        <v>2579642.2912751781</v>
      </c>
      <c r="F283" s="39">
        <v>777346.26712260011</v>
      </c>
      <c r="G283" s="39">
        <v>702093.79536530096</v>
      </c>
      <c r="H283" s="40">
        <v>0.15164760773668506</v>
      </c>
      <c r="I283" s="40">
        <v>-9.6806886377484691E-2</v>
      </c>
      <c r="J283" s="40">
        <v>8.7638427558909715E-2</v>
      </c>
    </row>
    <row r="284" spans="1:10" ht="11.25" customHeight="1" x14ac:dyDescent="0.2">
      <c r="A284" s="44" t="s">
        <v>39</v>
      </c>
      <c r="B284" s="39">
        <v>0</v>
      </c>
      <c r="C284" s="39">
        <v>0</v>
      </c>
      <c r="D284" s="39">
        <v>1428581.31858</v>
      </c>
      <c r="E284" s="39">
        <v>1645222.2579999762</v>
      </c>
      <c r="F284" s="39">
        <v>495769.27202999993</v>
      </c>
      <c r="G284" s="39">
        <v>447775.39244314359</v>
      </c>
      <c r="H284" s="40">
        <v>0.15164760773668506</v>
      </c>
      <c r="I284" s="40">
        <v>-9.6806886377484358E-2</v>
      </c>
      <c r="J284" s="40">
        <v>8.7638427558909715E-2</v>
      </c>
    </row>
    <row r="285" spans="1:10" ht="11.25" customHeight="1" x14ac:dyDescent="0.2">
      <c r="A285" s="45" t="s">
        <v>25</v>
      </c>
      <c r="B285" s="39">
        <v>0</v>
      </c>
      <c r="C285" s="39">
        <v>0</v>
      </c>
      <c r="D285" s="39">
        <v>1428581.31858</v>
      </c>
      <c r="E285" s="39">
        <v>1645222.2579999762</v>
      </c>
      <c r="F285" s="39">
        <v>495769.27202999993</v>
      </c>
      <c r="G285" s="39">
        <v>447775.39244314359</v>
      </c>
      <c r="H285" s="40">
        <v>0.15164760773668506</v>
      </c>
      <c r="I285" s="40">
        <v>-9.6806886377484358E-2</v>
      </c>
      <c r="J285" s="40">
        <v>8.7638427558909715E-2</v>
      </c>
    </row>
    <row r="286" spans="1:10" ht="11.25" customHeight="1" x14ac:dyDescent="0.2">
      <c r="A286" s="46" t="s">
        <v>25</v>
      </c>
      <c r="B286" s="39">
        <v>0</v>
      </c>
      <c r="C286" s="39">
        <v>0</v>
      </c>
      <c r="D286" s="39">
        <v>1428581.31858</v>
      </c>
      <c r="E286" s="39">
        <v>1645222.2579999762</v>
      </c>
      <c r="F286" s="39">
        <v>495769.27202999993</v>
      </c>
      <c r="G286" s="39">
        <v>447775.39244314359</v>
      </c>
      <c r="H286" s="40">
        <v>0.15164760773668506</v>
      </c>
      <c r="I286" s="40">
        <v>-9.6806886377484358E-2</v>
      </c>
      <c r="J286" s="40">
        <v>8.7638427558909715E-2</v>
      </c>
    </row>
    <row r="287" spans="1:10" ht="11.25" customHeight="1" x14ac:dyDescent="0.2">
      <c r="A287" s="47" t="s">
        <v>25</v>
      </c>
      <c r="B287" s="39">
        <v>0</v>
      </c>
      <c r="C287" s="39">
        <v>0</v>
      </c>
      <c r="D287" s="39">
        <v>1428581.31858</v>
      </c>
      <c r="E287" s="39">
        <v>1645222.2579999762</v>
      </c>
      <c r="F287" s="39">
        <v>495769.27202999993</v>
      </c>
      <c r="G287" s="39">
        <v>447775.39244314359</v>
      </c>
      <c r="H287" s="40">
        <v>0.15164760773668506</v>
      </c>
      <c r="I287" s="40">
        <v>-9.6806886377484358E-2</v>
      </c>
      <c r="J287" s="40">
        <v>8.7638427558909715E-2</v>
      </c>
    </row>
    <row r="288" spans="1:10" ht="11.25" customHeight="1" x14ac:dyDescent="0.2">
      <c r="A288" s="48" t="s">
        <v>25</v>
      </c>
      <c r="B288" s="39">
        <v>0</v>
      </c>
      <c r="C288" s="39">
        <v>0</v>
      </c>
      <c r="D288" s="39">
        <v>1428581.31858</v>
      </c>
      <c r="E288" s="39">
        <v>1645222.2579999762</v>
      </c>
      <c r="F288" s="39">
        <v>495769.27202999993</v>
      </c>
      <c r="G288" s="39">
        <v>447775.39244314359</v>
      </c>
      <c r="H288" s="40">
        <v>0.15164760773668506</v>
      </c>
      <c r="I288" s="40">
        <v>-9.6806886377484358E-2</v>
      </c>
      <c r="J288" s="40">
        <v>8.7638427558909715E-2</v>
      </c>
    </row>
    <row r="289" spans="1:10" ht="11.25" customHeight="1" x14ac:dyDescent="0.2">
      <c r="A289" s="49">
        <v>44440</v>
      </c>
      <c r="B289" s="39">
        <v>0</v>
      </c>
      <c r="C289" s="39">
        <v>0</v>
      </c>
      <c r="D289" s="39">
        <v>108818.74692000001</v>
      </c>
      <c r="E289" s="39">
        <v>125320.84956732175</v>
      </c>
      <c r="F289" s="39">
        <v>37764.032220000008</v>
      </c>
      <c r="G289" s="39">
        <v>34108.213843722799</v>
      </c>
      <c r="H289" s="40">
        <v>0.15164760773668484</v>
      </c>
      <c r="I289" s="40">
        <v>-9.680688637748458E-2</v>
      </c>
      <c r="J289" s="40">
        <v>8.7638427558909715E-2</v>
      </c>
    </row>
    <row r="290" spans="1:10" ht="11.25" customHeight="1" x14ac:dyDescent="0.2">
      <c r="A290" s="49">
        <v>44470</v>
      </c>
      <c r="B290" s="39">
        <v>0</v>
      </c>
      <c r="C290" s="39">
        <v>0</v>
      </c>
      <c r="D290" s="39">
        <v>95968.935400000002</v>
      </c>
      <c r="E290" s="39">
        <v>110522.39487044646</v>
      </c>
      <c r="F290" s="39">
        <v>33304.683900000004</v>
      </c>
      <c r="G290" s="39">
        <v>30080.561149854668</v>
      </c>
      <c r="H290" s="40">
        <v>0.15164760773668484</v>
      </c>
      <c r="I290" s="40">
        <v>-9.6806886377484469E-2</v>
      </c>
      <c r="J290" s="40">
        <v>8.7638427558909715E-2</v>
      </c>
    </row>
    <row r="291" spans="1:10" ht="11.25" customHeight="1" x14ac:dyDescent="0.2">
      <c r="A291" s="49">
        <v>44501</v>
      </c>
      <c r="B291" s="39">
        <v>0</v>
      </c>
      <c r="C291" s="39">
        <v>0</v>
      </c>
      <c r="D291" s="39">
        <v>114079.68597999999</v>
      </c>
      <c r="E291" s="39">
        <v>131379.59745021924</v>
      </c>
      <c r="F291" s="39">
        <v>39589.767930000002</v>
      </c>
      <c r="G291" s="39">
        <v>35757.205764289516</v>
      </c>
      <c r="H291" s="40">
        <v>0.15164760773668506</v>
      </c>
      <c r="I291" s="40">
        <v>-9.6806886377484358E-2</v>
      </c>
      <c r="J291" s="40">
        <v>8.7638427558909937E-2</v>
      </c>
    </row>
    <row r="292" spans="1:10" ht="11.25" customHeight="1" x14ac:dyDescent="0.2">
      <c r="A292" s="49">
        <v>44531</v>
      </c>
      <c r="B292" s="39">
        <v>0</v>
      </c>
      <c r="C292" s="39">
        <v>0</v>
      </c>
      <c r="D292" s="39">
        <v>142684.22714</v>
      </c>
      <c r="E292" s="39">
        <v>164321.94884753879</v>
      </c>
      <c r="F292" s="39">
        <v>49516.575990000005</v>
      </c>
      <c r="G292" s="39">
        <v>44723.030444333992</v>
      </c>
      <c r="H292" s="40">
        <v>0.15164760773668506</v>
      </c>
      <c r="I292" s="40">
        <v>-9.680688637748458E-2</v>
      </c>
      <c r="J292" s="40">
        <v>8.7638427558909715E-2</v>
      </c>
    </row>
    <row r="293" spans="1:10" ht="11.25" customHeight="1" x14ac:dyDescent="0.2">
      <c r="A293" s="49">
        <v>44562</v>
      </c>
      <c r="B293" s="39">
        <v>0</v>
      </c>
      <c r="C293" s="39">
        <v>0</v>
      </c>
      <c r="D293" s="39">
        <v>144286.16904000004</v>
      </c>
      <c r="E293" s="39">
        <v>166166.82140440695</v>
      </c>
      <c r="F293" s="39">
        <v>50072.507640000003</v>
      </c>
      <c r="G293" s="39">
        <v>45225.144082258805</v>
      </c>
      <c r="H293" s="40">
        <v>0.15164760773668462</v>
      </c>
      <c r="I293" s="40">
        <v>-9.6806886377484358E-2</v>
      </c>
      <c r="J293" s="40">
        <v>8.7638427558909715E-2</v>
      </c>
    </row>
    <row r="294" spans="1:10" ht="11.25" customHeight="1" x14ac:dyDescent="0.2">
      <c r="A294" s="49">
        <v>44593</v>
      </c>
      <c r="B294" s="39">
        <v>0</v>
      </c>
      <c r="C294" s="39">
        <v>0</v>
      </c>
      <c r="D294" s="39">
        <v>133507.21851999999</v>
      </c>
      <c r="E294" s="39">
        <v>153753.26882413685</v>
      </c>
      <c r="F294" s="39">
        <v>46331.822820000009</v>
      </c>
      <c r="G294" s="39">
        <v>41846.583312602525</v>
      </c>
      <c r="H294" s="40">
        <v>0.15164760773668506</v>
      </c>
      <c r="I294" s="40">
        <v>-9.6806886377484469E-2</v>
      </c>
      <c r="J294" s="40">
        <v>8.7638427558909715E-2</v>
      </c>
    </row>
    <row r="295" spans="1:10" ht="11.25" customHeight="1" x14ac:dyDescent="0.2">
      <c r="A295" s="49">
        <v>44621</v>
      </c>
      <c r="B295" s="39">
        <v>0</v>
      </c>
      <c r="C295" s="39">
        <v>0</v>
      </c>
      <c r="D295" s="39">
        <v>135102.97164</v>
      </c>
      <c r="E295" s="39">
        <v>155591.01408732322</v>
      </c>
      <c r="F295" s="39">
        <v>46885.60674000001</v>
      </c>
      <c r="G295" s="39">
        <v>42346.757135581407</v>
      </c>
      <c r="H295" s="40">
        <v>0.15164760773668506</v>
      </c>
      <c r="I295" s="40">
        <v>-9.6806886377484469E-2</v>
      </c>
      <c r="J295" s="40">
        <v>8.7638427558909715E-2</v>
      </c>
    </row>
    <row r="296" spans="1:10" ht="11.25" customHeight="1" x14ac:dyDescent="0.2">
      <c r="A296" s="49">
        <v>44652</v>
      </c>
      <c r="B296" s="39">
        <v>0</v>
      </c>
      <c r="C296" s="39">
        <v>0</v>
      </c>
      <c r="D296" s="39">
        <v>119732.42242</v>
      </c>
      <c r="E296" s="39">
        <v>137889.55784851123</v>
      </c>
      <c r="F296" s="39">
        <v>41551.471470000004</v>
      </c>
      <c r="G296" s="39">
        <v>37529.002892586417</v>
      </c>
      <c r="H296" s="40">
        <v>0.15164760773668506</v>
      </c>
      <c r="I296" s="40">
        <v>-9.6806886377484691E-2</v>
      </c>
      <c r="J296" s="40">
        <v>8.7638427558909715E-2</v>
      </c>
    </row>
    <row r="297" spans="1:10" ht="11.25" customHeight="1" x14ac:dyDescent="0.2">
      <c r="A297" s="49">
        <v>44682</v>
      </c>
      <c r="B297" s="39">
        <v>0</v>
      </c>
      <c r="C297" s="39">
        <v>0</v>
      </c>
      <c r="D297" s="39">
        <v>110741.07720000001</v>
      </c>
      <c r="E297" s="39">
        <v>127534.69663556355</v>
      </c>
      <c r="F297" s="39">
        <v>38431.150200000004</v>
      </c>
      <c r="G297" s="39">
        <v>34710.750209232559</v>
      </c>
      <c r="H297" s="40">
        <v>0.15164760773668484</v>
      </c>
      <c r="I297" s="40">
        <v>-9.680688637748458E-2</v>
      </c>
      <c r="J297" s="40">
        <v>8.7638427558909715E-2</v>
      </c>
    </row>
    <row r="298" spans="1:10" ht="11.25" customHeight="1" x14ac:dyDescent="0.2">
      <c r="A298" s="49">
        <v>44713</v>
      </c>
      <c r="B298" s="39">
        <v>0</v>
      </c>
      <c r="C298" s="39">
        <v>0</v>
      </c>
      <c r="D298" s="39">
        <v>111575.61038</v>
      </c>
      <c r="E298" s="39">
        <v>128495.78477588743</v>
      </c>
      <c r="F298" s="39">
        <v>38720.763330000002</v>
      </c>
      <c r="G298" s="39">
        <v>34972.32679386322</v>
      </c>
      <c r="H298" s="40">
        <v>0.15164760773668484</v>
      </c>
      <c r="I298" s="40">
        <v>-9.680688637748458E-2</v>
      </c>
      <c r="J298" s="40">
        <v>8.7638427558909493E-2</v>
      </c>
    </row>
    <row r="299" spans="1:10" ht="11.25" customHeight="1" x14ac:dyDescent="0.2">
      <c r="A299" s="49">
        <v>44743</v>
      </c>
      <c r="B299" s="39">
        <v>0</v>
      </c>
      <c r="C299" s="39">
        <v>0</v>
      </c>
      <c r="D299" s="39">
        <v>105724.35691999999</v>
      </c>
      <c r="E299" s="39">
        <v>121757.20272641744</v>
      </c>
      <c r="F299" s="39">
        <v>36690.167220000003</v>
      </c>
      <c r="G299" s="39">
        <v>33138.306370762555</v>
      </c>
      <c r="H299" s="40">
        <v>0.15164760773668506</v>
      </c>
      <c r="I299" s="40">
        <v>-9.680688637748458E-2</v>
      </c>
      <c r="J299" s="40">
        <v>8.7638427558909715E-2</v>
      </c>
    </row>
    <row r="300" spans="1:10" ht="11.25" customHeight="1" x14ac:dyDescent="0.2">
      <c r="A300" s="49">
        <v>44774</v>
      </c>
      <c r="B300" s="39">
        <v>0</v>
      </c>
      <c r="C300" s="39">
        <v>0</v>
      </c>
      <c r="D300" s="39">
        <v>106359.89702</v>
      </c>
      <c r="E300" s="39">
        <v>122489.12096220317</v>
      </c>
      <c r="F300" s="39">
        <v>36910.722570000005</v>
      </c>
      <c r="G300" s="39">
        <v>33337.510444055159</v>
      </c>
      <c r="H300" s="40">
        <v>0.15164760773668506</v>
      </c>
      <c r="I300" s="40">
        <v>-9.680688637748458E-2</v>
      </c>
      <c r="J300" s="40">
        <v>8.7638427558909493E-2</v>
      </c>
    </row>
    <row r="301" spans="1:10" ht="11.25" customHeight="1" x14ac:dyDescent="0.2">
      <c r="A301" s="44" t="s">
        <v>49</v>
      </c>
      <c r="B301" s="39">
        <v>0</v>
      </c>
      <c r="C301" s="39">
        <v>0</v>
      </c>
      <c r="D301" s="39">
        <v>14567.435999999998</v>
      </c>
      <c r="E301" s="39">
        <v>16776.552820257264</v>
      </c>
      <c r="F301" s="39">
        <v>5055.4260000000013</v>
      </c>
      <c r="G301" s="39">
        <v>4566.0259496282179</v>
      </c>
      <c r="H301" s="40">
        <v>0.15164760773668529</v>
      </c>
      <c r="I301" s="40">
        <v>-9.6806886377484913E-2</v>
      </c>
      <c r="J301" s="40">
        <v>8.7638427558909715E-2</v>
      </c>
    </row>
    <row r="302" spans="1:10" ht="11.25" customHeight="1" x14ac:dyDescent="0.2">
      <c r="A302" s="45" t="s">
        <v>25</v>
      </c>
      <c r="B302" s="39">
        <v>0</v>
      </c>
      <c r="C302" s="39">
        <v>0</v>
      </c>
      <c r="D302" s="39">
        <v>14567.435999999998</v>
      </c>
      <c r="E302" s="39">
        <v>16776.552820257264</v>
      </c>
      <c r="F302" s="39">
        <v>5055.4260000000013</v>
      </c>
      <c r="G302" s="39">
        <v>4566.0259496282179</v>
      </c>
      <c r="H302" s="40">
        <v>0.15164760773668529</v>
      </c>
      <c r="I302" s="40">
        <v>-9.6806886377484913E-2</v>
      </c>
      <c r="J302" s="40">
        <v>8.7638427558909715E-2</v>
      </c>
    </row>
    <row r="303" spans="1:10" ht="11.25" customHeight="1" x14ac:dyDescent="0.2">
      <c r="A303" s="46" t="s">
        <v>25</v>
      </c>
      <c r="B303" s="39">
        <v>0</v>
      </c>
      <c r="C303" s="39">
        <v>0</v>
      </c>
      <c r="D303" s="39">
        <v>14567.435999999998</v>
      </c>
      <c r="E303" s="39">
        <v>16776.552820257264</v>
      </c>
      <c r="F303" s="39">
        <v>5055.4260000000013</v>
      </c>
      <c r="G303" s="39">
        <v>4566.0259496282179</v>
      </c>
      <c r="H303" s="40">
        <v>0.15164760773668529</v>
      </c>
      <c r="I303" s="40">
        <v>-9.6806886377484913E-2</v>
      </c>
      <c r="J303" s="40">
        <v>8.7638427558909715E-2</v>
      </c>
    </row>
    <row r="304" spans="1:10" ht="11.25" customHeight="1" x14ac:dyDescent="0.2">
      <c r="A304" s="47" t="s">
        <v>25</v>
      </c>
      <c r="B304" s="39">
        <v>0</v>
      </c>
      <c r="C304" s="39">
        <v>0</v>
      </c>
      <c r="D304" s="39">
        <v>14567.435999999998</v>
      </c>
      <c r="E304" s="39">
        <v>16776.552820257264</v>
      </c>
      <c r="F304" s="39">
        <v>5055.4260000000013</v>
      </c>
      <c r="G304" s="39">
        <v>4566.0259496282179</v>
      </c>
      <c r="H304" s="40">
        <v>0.15164760773668529</v>
      </c>
      <c r="I304" s="40">
        <v>-9.6806886377484913E-2</v>
      </c>
      <c r="J304" s="40">
        <v>8.7638427558909715E-2</v>
      </c>
    </row>
    <row r="305" spans="1:10" ht="11.25" customHeight="1" x14ac:dyDescent="0.2">
      <c r="A305" s="48" t="s">
        <v>25</v>
      </c>
      <c r="B305" s="39">
        <v>0</v>
      </c>
      <c r="C305" s="39">
        <v>0</v>
      </c>
      <c r="D305" s="39">
        <v>14567.435999999998</v>
      </c>
      <c r="E305" s="39">
        <v>16776.552820257264</v>
      </c>
      <c r="F305" s="39">
        <v>5055.4260000000013</v>
      </c>
      <c r="G305" s="39">
        <v>4566.0259496282179</v>
      </c>
      <c r="H305" s="40">
        <v>0.15164760773668529</v>
      </c>
      <c r="I305" s="40">
        <v>-9.6806886377484913E-2</v>
      </c>
      <c r="J305" s="40">
        <v>8.7638427558909715E-2</v>
      </c>
    </row>
    <row r="306" spans="1:10" ht="11.25" customHeight="1" x14ac:dyDescent="0.2">
      <c r="A306" s="49">
        <v>44440</v>
      </c>
      <c r="B306" s="39">
        <v>0</v>
      </c>
      <c r="C306" s="39">
        <v>0</v>
      </c>
      <c r="D306" s="39">
        <v>956.88059999999996</v>
      </c>
      <c r="E306" s="39">
        <v>1101.9892538796437</v>
      </c>
      <c r="F306" s="39">
        <v>332.07209999999998</v>
      </c>
      <c r="G306" s="39">
        <v>299.92523394616728</v>
      </c>
      <c r="H306" s="40">
        <v>0.15164760773668484</v>
      </c>
      <c r="I306" s="40">
        <v>-9.680688637748458E-2</v>
      </c>
      <c r="J306" s="40">
        <v>8.7638427558909715E-2</v>
      </c>
    </row>
    <row r="307" spans="1:10" ht="11.25" customHeight="1" x14ac:dyDescent="0.2">
      <c r="A307" s="49">
        <v>44470</v>
      </c>
      <c r="B307" s="39">
        <v>0</v>
      </c>
      <c r="C307" s="39">
        <v>0</v>
      </c>
      <c r="D307" s="39">
        <v>835.96136000000001</v>
      </c>
      <c r="E307" s="39">
        <v>962.73290040430572</v>
      </c>
      <c r="F307" s="39">
        <v>290.10876000000002</v>
      </c>
      <c r="G307" s="39">
        <v>262.02423423356709</v>
      </c>
      <c r="H307" s="40">
        <v>0.15164760773668506</v>
      </c>
      <c r="I307" s="40">
        <v>-9.680688637748458E-2</v>
      </c>
      <c r="J307" s="40">
        <v>8.7638427558909493E-2</v>
      </c>
    </row>
    <row r="308" spans="1:10" ht="11.25" customHeight="1" x14ac:dyDescent="0.2">
      <c r="A308" s="49">
        <v>44501</v>
      </c>
      <c r="B308" s="39">
        <v>0</v>
      </c>
      <c r="C308" s="39">
        <v>0</v>
      </c>
      <c r="D308" s="39">
        <v>1125.8819000000001</v>
      </c>
      <c r="E308" s="39">
        <v>1296.6191967290338</v>
      </c>
      <c r="F308" s="39">
        <v>390.72165000000007</v>
      </c>
      <c r="G308" s="39">
        <v>352.89710362322677</v>
      </c>
      <c r="H308" s="40">
        <v>0.15164760773668506</v>
      </c>
      <c r="I308" s="40">
        <v>-9.680688637748458E-2</v>
      </c>
      <c r="J308" s="40">
        <v>8.7638427558909715E-2</v>
      </c>
    </row>
    <row r="309" spans="1:10" ht="11.25" customHeight="1" x14ac:dyDescent="0.2">
      <c r="A309" s="49">
        <v>44531</v>
      </c>
      <c r="B309" s="39">
        <v>0</v>
      </c>
      <c r="C309" s="39">
        <v>0</v>
      </c>
      <c r="D309" s="39">
        <v>1561.00074</v>
      </c>
      <c r="E309" s="39">
        <v>1797.7227678961949</v>
      </c>
      <c r="F309" s="39">
        <v>541.72359000000006</v>
      </c>
      <c r="G309" s="39">
        <v>489.28101597486699</v>
      </c>
      <c r="H309" s="40">
        <v>0.15164760773668506</v>
      </c>
      <c r="I309" s="40">
        <v>-9.680688637748458E-2</v>
      </c>
      <c r="J309" s="40">
        <v>8.7638427558909715E-2</v>
      </c>
    </row>
    <row r="310" spans="1:10" ht="11.25" customHeight="1" x14ac:dyDescent="0.2">
      <c r="A310" s="49">
        <v>44562</v>
      </c>
      <c r="B310" s="39">
        <v>0</v>
      </c>
      <c r="C310" s="39">
        <v>0</v>
      </c>
      <c r="D310" s="39">
        <v>1722.38508</v>
      </c>
      <c r="E310" s="39">
        <v>1983.5806569833587</v>
      </c>
      <c r="F310" s="39">
        <v>597.72978000000001</v>
      </c>
      <c r="G310" s="39">
        <v>539.8654211031012</v>
      </c>
      <c r="H310" s="40">
        <v>0.15164760773668484</v>
      </c>
      <c r="I310" s="40">
        <v>-9.6806886377484469E-2</v>
      </c>
      <c r="J310" s="40">
        <v>8.7638427558909715E-2</v>
      </c>
    </row>
    <row r="311" spans="1:10" ht="11.25" customHeight="1" x14ac:dyDescent="0.2">
      <c r="A311" s="49">
        <v>44593</v>
      </c>
      <c r="B311" s="39">
        <v>0</v>
      </c>
      <c r="C311" s="39">
        <v>0</v>
      </c>
      <c r="D311" s="39">
        <v>1710.0075200000001</v>
      </c>
      <c r="E311" s="39">
        <v>1969.3260696197415</v>
      </c>
      <c r="F311" s="39">
        <v>593.43432000000007</v>
      </c>
      <c r="G311" s="39">
        <v>535.98579121126022</v>
      </c>
      <c r="H311" s="40">
        <v>0.15164760773668484</v>
      </c>
      <c r="I311" s="40">
        <v>-9.680688637748458E-2</v>
      </c>
      <c r="J311" s="40">
        <v>8.7638427558909493E-2</v>
      </c>
    </row>
    <row r="312" spans="1:10" ht="11.25" customHeight="1" x14ac:dyDescent="0.2">
      <c r="A312" s="49">
        <v>44621</v>
      </c>
      <c r="B312" s="39">
        <v>0</v>
      </c>
      <c r="C312" s="39">
        <v>0</v>
      </c>
      <c r="D312" s="39">
        <v>1432.9405999999999</v>
      </c>
      <c r="E312" s="39">
        <v>1650.2426140187699</v>
      </c>
      <c r="F312" s="39">
        <v>497.28210000000001</v>
      </c>
      <c r="G312" s="39">
        <v>449.14176824774307</v>
      </c>
      <c r="H312" s="40">
        <v>0.15164760773668506</v>
      </c>
      <c r="I312" s="40">
        <v>-9.680688637748458E-2</v>
      </c>
      <c r="J312" s="40">
        <v>8.7638427558909715E-2</v>
      </c>
    </row>
    <row r="313" spans="1:10" ht="11.25" customHeight="1" x14ac:dyDescent="0.2">
      <c r="A313" s="49">
        <v>44652</v>
      </c>
      <c r="B313" s="39">
        <v>0</v>
      </c>
      <c r="C313" s="39">
        <v>0</v>
      </c>
      <c r="D313" s="39">
        <v>1132.54674</v>
      </c>
      <c r="E313" s="39">
        <v>1304.2947437709813</v>
      </c>
      <c r="F313" s="39">
        <v>393.03459000000004</v>
      </c>
      <c r="G313" s="39">
        <v>354.98613510344882</v>
      </c>
      <c r="H313" s="40">
        <v>0.15164760773668484</v>
      </c>
      <c r="I313" s="40">
        <v>-9.680688637748458E-2</v>
      </c>
      <c r="J313" s="40">
        <v>8.7638427558909715E-2</v>
      </c>
    </row>
    <row r="314" spans="1:10" ht="11.25" customHeight="1" x14ac:dyDescent="0.2">
      <c r="A314" s="49">
        <v>44682</v>
      </c>
      <c r="B314" s="39">
        <v>0</v>
      </c>
      <c r="C314" s="39">
        <v>0</v>
      </c>
      <c r="D314" s="39">
        <v>973.06664000000001</v>
      </c>
      <c r="E314" s="39">
        <v>1120.6298681243741</v>
      </c>
      <c r="F314" s="39">
        <v>337.68924000000004</v>
      </c>
      <c r="G314" s="39">
        <v>304.9985961124209</v>
      </c>
      <c r="H314" s="40">
        <v>0.15164760773668506</v>
      </c>
      <c r="I314" s="40">
        <v>-9.680688637748458E-2</v>
      </c>
      <c r="J314" s="40">
        <v>8.7638427558909715E-2</v>
      </c>
    </row>
    <row r="315" spans="1:10" ht="11.25" customHeight="1" x14ac:dyDescent="0.2">
      <c r="A315" s="49">
        <v>44713</v>
      </c>
      <c r="B315" s="39">
        <v>0</v>
      </c>
      <c r="C315" s="39">
        <v>0</v>
      </c>
      <c r="D315" s="39">
        <v>1073.0392400000001</v>
      </c>
      <c r="E315" s="39">
        <v>1235.7630737535906</v>
      </c>
      <c r="F315" s="39">
        <v>372.38334000000003</v>
      </c>
      <c r="G315" s="39">
        <v>336.33406831575184</v>
      </c>
      <c r="H315" s="40">
        <v>0.15164760773668484</v>
      </c>
      <c r="I315" s="40">
        <v>-9.680688637748458E-2</v>
      </c>
      <c r="J315" s="40">
        <v>8.7638427558909715E-2</v>
      </c>
    </row>
    <row r="316" spans="1:10" ht="11.25" customHeight="1" x14ac:dyDescent="0.2">
      <c r="A316" s="49">
        <v>44743</v>
      </c>
      <c r="B316" s="39">
        <v>0</v>
      </c>
      <c r="C316" s="39">
        <v>0</v>
      </c>
      <c r="D316" s="39">
        <v>1103.0310200000001</v>
      </c>
      <c r="E316" s="39">
        <v>1270.3030354423556</v>
      </c>
      <c r="F316" s="39">
        <v>382.79157000000004</v>
      </c>
      <c r="G316" s="39">
        <v>345.73470997675111</v>
      </c>
      <c r="H316" s="40">
        <v>0.15164760773668484</v>
      </c>
      <c r="I316" s="40">
        <v>-9.680688637748458E-2</v>
      </c>
      <c r="J316" s="40">
        <v>8.7638427558909493E-2</v>
      </c>
    </row>
    <row r="317" spans="1:10" ht="11.25" customHeight="1" x14ac:dyDescent="0.2">
      <c r="A317" s="49">
        <v>44774</v>
      </c>
      <c r="B317" s="39">
        <v>0</v>
      </c>
      <c r="C317" s="39">
        <v>0</v>
      </c>
      <c r="D317" s="39">
        <v>940.69456000000002</v>
      </c>
      <c r="E317" s="39">
        <v>1083.3486396349135</v>
      </c>
      <c r="F317" s="39">
        <v>326.45496000000003</v>
      </c>
      <c r="G317" s="39">
        <v>294.85187177991378</v>
      </c>
      <c r="H317" s="40">
        <v>0.15164760773668506</v>
      </c>
      <c r="I317" s="40">
        <v>-9.6806886377484469E-2</v>
      </c>
      <c r="J317" s="40">
        <v>8.7638427558909937E-2</v>
      </c>
    </row>
    <row r="318" spans="1:10" ht="11.25" customHeight="1" x14ac:dyDescent="0.2">
      <c r="A318" s="44" t="s">
        <v>34</v>
      </c>
      <c r="B318" s="39">
        <v>0</v>
      </c>
      <c r="C318" s="39">
        <v>0</v>
      </c>
      <c r="D318" s="39">
        <v>548263.06808</v>
      </c>
      <c r="E318" s="39">
        <v>631405.8507647072</v>
      </c>
      <c r="F318" s="39">
        <v>190267.07028000001</v>
      </c>
      <c r="G318" s="39">
        <v>171847.90762602718</v>
      </c>
      <c r="H318" s="40">
        <v>0.15164760773668506</v>
      </c>
      <c r="I318" s="40">
        <v>-9.6806886377484247E-2</v>
      </c>
      <c r="J318" s="40">
        <v>8.7638427558909937E-2</v>
      </c>
    </row>
    <row r="319" spans="1:10" ht="11.25" customHeight="1" x14ac:dyDescent="0.2">
      <c r="A319" s="45" t="s">
        <v>25</v>
      </c>
      <c r="B319" s="39">
        <v>0</v>
      </c>
      <c r="C319" s="39">
        <v>0</v>
      </c>
      <c r="D319" s="39">
        <v>548263.06808</v>
      </c>
      <c r="E319" s="39">
        <v>631405.8507647072</v>
      </c>
      <c r="F319" s="39">
        <v>190267.07028000001</v>
      </c>
      <c r="G319" s="39">
        <v>171847.90762602718</v>
      </c>
      <c r="H319" s="40">
        <v>0.15164760773668506</v>
      </c>
      <c r="I319" s="40">
        <v>-9.6806886377484247E-2</v>
      </c>
      <c r="J319" s="40">
        <v>8.7638427558909937E-2</v>
      </c>
    </row>
    <row r="320" spans="1:10" ht="11.25" customHeight="1" x14ac:dyDescent="0.2">
      <c r="A320" s="46" t="s">
        <v>25</v>
      </c>
      <c r="B320" s="39">
        <v>0</v>
      </c>
      <c r="C320" s="39">
        <v>0</v>
      </c>
      <c r="D320" s="39">
        <v>548263.06808</v>
      </c>
      <c r="E320" s="39">
        <v>631405.8507647072</v>
      </c>
      <c r="F320" s="39">
        <v>190267.07028000001</v>
      </c>
      <c r="G320" s="39">
        <v>171847.90762602718</v>
      </c>
      <c r="H320" s="40">
        <v>0.15164760773668506</v>
      </c>
      <c r="I320" s="40">
        <v>-9.6806886377484247E-2</v>
      </c>
      <c r="J320" s="40">
        <v>8.7638427558909937E-2</v>
      </c>
    </row>
    <row r="321" spans="1:10" ht="11.25" customHeight="1" x14ac:dyDescent="0.2">
      <c r="A321" s="47" t="s">
        <v>25</v>
      </c>
      <c r="B321" s="39">
        <v>0</v>
      </c>
      <c r="C321" s="39">
        <v>0</v>
      </c>
      <c r="D321" s="39">
        <v>548263.06808</v>
      </c>
      <c r="E321" s="39">
        <v>631405.8507647072</v>
      </c>
      <c r="F321" s="39">
        <v>190267.07028000001</v>
      </c>
      <c r="G321" s="39">
        <v>171847.90762602718</v>
      </c>
      <c r="H321" s="40">
        <v>0.15164760773668506</v>
      </c>
      <c r="I321" s="40">
        <v>-9.6806886377484247E-2</v>
      </c>
      <c r="J321" s="40">
        <v>8.7638427558909937E-2</v>
      </c>
    </row>
    <row r="322" spans="1:10" ht="11.25" customHeight="1" x14ac:dyDescent="0.2">
      <c r="A322" s="48" t="s">
        <v>25</v>
      </c>
      <c r="B322" s="39">
        <v>0</v>
      </c>
      <c r="C322" s="39">
        <v>0</v>
      </c>
      <c r="D322" s="39">
        <v>548263.06808</v>
      </c>
      <c r="E322" s="39">
        <v>631405.8507647072</v>
      </c>
      <c r="F322" s="39">
        <v>190267.07028000001</v>
      </c>
      <c r="G322" s="39">
        <v>171847.90762602718</v>
      </c>
      <c r="H322" s="40">
        <v>0.15164760773668506</v>
      </c>
      <c r="I322" s="40">
        <v>-9.6806886377484247E-2</v>
      </c>
      <c r="J322" s="40">
        <v>8.7638427558909937E-2</v>
      </c>
    </row>
    <row r="323" spans="1:10" ht="11.25" customHeight="1" x14ac:dyDescent="0.2">
      <c r="A323" s="49">
        <v>44440</v>
      </c>
      <c r="B323" s="39">
        <v>0</v>
      </c>
      <c r="C323" s="39">
        <v>0</v>
      </c>
      <c r="D323" s="39">
        <v>55490.505720000001</v>
      </c>
      <c r="E323" s="39">
        <v>63905.508164536834</v>
      </c>
      <c r="F323" s="39">
        <v>19257.208020000002</v>
      </c>
      <c r="G323" s="39">
        <v>17392.977671260276</v>
      </c>
      <c r="H323" s="40">
        <v>0.15164760773668484</v>
      </c>
      <c r="I323" s="40">
        <v>-9.680688637748458E-2</v>
      </c>
      <c r="J323" s="40">
        <v>8.7638427558909715E-2</v>
      </c>
    </row>
    <row r="324" spans="1:10" ht="11.25" customHeight="1" x14ac:dyDescent="0.2">
      <c r="A324" s="49">
        <v>44470</v>
      </c>
      <c r="B324" s="39">
        <v>0</v>
      </c>
      <c r="C324" s="39">
        <v>0</v>
      </c>
      <c r="D324" s="39">
        <v>46544.386200000001</v>
      </c>
      <c r="E324" s="39">
        <v>53602.73102080237</v>
      </c>
      <c r="F324" s="39">
        <v>16152.581700000002</v>
      </c>
      <c r="G324" s="39">
        <v>14588.900558665064</v>
      </c>
      <c r="H324" s="40">
        <v>0.15164760773668484</v>
      </c>
      <c r="I324" s="40">
        <v>-9.6806886377484691E-2</v>
      </c>
      <c r="J324" s="40">
        <v>8.7638427558909493E-2</v>
      </c>
    </row>
    <row r="325" spans="1:10" ht="11.25" customHeight="1" x14ac:dyDescent="0.2">
      <c r="A325" s="49">
        <v>44501</v>
      </c>
      <c r="B325" s="39">
        <v>0</v>
      </c>
      <c r="C325" s="39">
        <v>0</v>
      </c>
      <c r="D325" s="39">
        <v>43837.032980000004</v>
      </c>
      <c r="E325" s="39">
        <v>50484.814161691167</v>
      </c>
      <c r="F325" s="39">
        <v>15213.032430000001</v>
      </c>
      <c r="G325" s="39">
        <v>13740.306128092005</v>
      </c>
      <c r="H325" s="40">
        <v>0.15164760773668506</v>
      </c>
      <c r="I325" s="40">
        <v>-9.6806886377484469E-2</v>
      </c>
      <c r="J325" s="40">
        <v>8.7638427558909715E-2</v>
      </c>
    </row>
    <row r="326" spans="1:10" ht="11.25" customHeight="1" x14ac:dyDescent="0.2">
      <c r="A326" s="49">
        <v>44531</v>
      </c>
      <c r="B326" s="39">
        <v>0</v>
      </c>
      <c r="C326" s="39">
        <v>0</v>
      </c>
      <c r="D326" s="39">
        <v>41615.73702</v>
      </c>
      <c r="E326" s="39">
        <v>47926.663983282</v>
      </c>
      <c r="F326" s="39">
        <v>14442.16257</v>
      </c>
      <c r="G326" s="39">
        <v>13044.061779040852</v>
      </c>
      <c r="H326" s="40">
        <v>0.15164760773668506</v>
      </c>
      <c r="I326" s="40">
        <v>-9.6806886377484358E-2</v>
      </c>
      <c r="J326" s="40">
        <v>8.7638427558909715E-2</v>
      </c>
    </row>
    <row r="327" spans="1:10" ht="11.25" customHeight="1" x14ac:dyDescent="0.2">
      <c r="A327" s="49">
        <v>44562</v>
      </c>
      <c r="B327" s="39">
        <v>0</v>
      </c>
      <c r="C327" s="39">
        <v>0</v>
      </c>
      <c r="D327" s="39">
        <v>31761.295019999998</v>
      </c>
      <c r="E327" s="39">
        <v>36577.819428402086</v>
      </c>
      <c r="F327" s="39">
        <v>11022.315570000001</v>
      </c>
      <c r="G327" s="39">
        <v>9955.2795189982317</v>
      </c>
      <c r="H327" s="40">
        <v>0.15164760773668506</v>
      </c>
      <c r="I327" s="40">
        <v>-9.680688637748458E-2</v>
      </c>
      <c r="J327" s="40">
        <v>8.7638427558909715E-2</v>
      </c>
    </row>
    <row r="328" spans="1:10" ht="11.25" customHeight="1" x14ac:dyDescent="0.2">
      <c r="A328" s="49">
        <v>44593</v>
      </c>
      <c r="B328" s="39">
        <v>0</v>
      </c>
      <c r="C328" s="39">
        <v>0</v>
      </c>
      <c r="D328" s="39">
        <v>54784.984799999991</v>
      </c>
      <c r="E328" s="39">
        <v>63092.996684810641</v>
      </c>
      <c r="F328" s="39">
        <v>19012.366800000003</v>
      </c>
      <c r="G328" s="39">
        <v>17171.838767425343</v>
      </c>
      <c r="H328" s="40">
        <v>0.15164760773668506</v>
      </c>
      <c r="I328" s="40">
        <v>-9.680688637748458E-2</v>
      </c>
      <c r="J328" s="40">
        <v>8.7638427558909715E-2</v>
      </c>
    </row>
    <row r="329" spans="1:10" ht="11.25" customHeight="1" x14ac:dyDescent="0.2">
      <c r="A329" s="49">
        <v>44621</v>
      </c>
      <c r="B329" s="39">
        <v>0</v>
      </c>
      <c r="C329" s="39">
        <v>0</v>
      </c>
      <c r="D329" s="39">
        <v>48478.617980000003</v>
      </c>
      <c r="E329" s="39">
        <v>55830.284423047648</v>
      </c>
      <c r="F329" s="39">
        <v>16823.82993</v>
      </c>
      <c r="G329" s="39">
        <v>15195.167337532368</v>
      </c>
      <c r="H329" s="40">
        <v>0.15164760773668506</v>
      </c>
      <c r="I329" s="40">
        <v>-9.6806886377484469E-2</v>
      </c>
      <c r="J329" s="40">
        <v>8.7638427558909937E-2</v>
      </c>
    </row>
    <row r="330" spans="1:10" ht="11.25" customHeight="1" x14ac:dyDescent="0.2">
      <c r="A330" s="49">
        <v>44652</v>
      </c>
      <c r="B330" s="39">
        <v>0</v>
      </c>
      <c r="C330" s="39">
        <v>0</v>
      </c>
      <c r="D330" s="39">
        <v>40913.548519999997</v>
      </c>
      <c r="E330" s="39">
        <v>47117.990277076788</v>
      </c>
      <c r="F330" s="39">
        <v>14198.47782</v>
      </c>
      <c r="G330" s="39">
        <v>12823.967390946025</v>
      </c>
      <c r="H330" s="40">
        <v>0.15164760773668506</v>
      </c>
      <c r="I330" s="40">
        <v>-9.680688637748458E-2</v>
      </c>
      <c r="J330" s="40">
        <v>8.7638427558909715E-2</v>
      </c>
    </row>
    <row r="331" spans="1:10" ht="11.25" customHeight="1" x14ac:dyDescent="0.2">
      <c r="A331" s="49">
        <v>44682</v>
      </c>
      <c r="B331" s="39">
        <v>0</v>
      </c>
      <c r="C331" s="39">
        <v>0</v>
      </c>
      <c r="D331" s="39">
        <v>43446.187720000002</v>
      </c>
      <c r="E331" s="39">
        <v>50034.698153016943</v>
      </c>
      <c r="F331" s="39">
        <v>15077.39502</v>
      </c>
      <c r="G331" s="39">
        <v>13617.79935343041</v>
      </c>
      <c r="H331" s="40">
        <v>0.15164760773668506</v>
      </c>
      <c r="I331" s="40">
        <v>-9.6806886377484469E-2</v>
      </c>
      <c r="J331" s="40">
        <v>8.7638427558909937E-2</v>
      </c>
    </row>
    <row r="332" spans="1:10" ht="11.25" customHeight="1" x14ac:dyDescent="0.2">
      <c r="A332" s="49">
        <v>44713</v>
      </c>
      <c r="B332" s="39">
        <v>0</v>
      </c>
      <c r="C332" s="39">
        <v>0</v>
      </c>
      <c r="D332" s="39">
        <v>45610.356480000002</v>
      </c>
      <c r="E332" s="39">
        <v>52527.057928209411</v>
      </c>
      <c r="F332" s="39">
        <v>15828.439679999999</v>
      </c>
      <c r="G332" s="39">
        <v>14296.137718365375</v>
      </c>
      <c r="H332" s="40">
        <v>0.15164760773668506</v>
      </c>
      <c r="I332" s="40">
        <v>-9.6806886377484358E-2</v>
      </c>
      <c r="J332" s="40">
        <v>8.7638427558909715E-2</v>
      </c>
    </row>
    <row r="333" spans="1:10" ht="11.25" customHeight="1" x14ac:dyDescent="0.2">
      <c r="A333" s="49">
        <v>44743</v>
      </c>
      <c r="B333" s="39">
        <v>0</v>
      </c>
      <c r="C333" s="39">
        <v>0</v>
      </c>
      <c r="D333" s="39">
        <v>45288.063859999995</v>
      </c>
      <c r="E333" s="39">
        <v>52155.89040339522</v>
      </c>
      <c r="F333" s="39">
        <v>15716.59251</v>
      </c>
      <c r="G333" s="39">
        <v>14195.118124643206</v>
      </c>
      <c r="H333" s="40">
        <v>0.15164760773668506</v>
      </c>
      <c r="I333" s="40">
        <v>-9.6806886377484469E-2</v>
      </c>
      <c r="J333" s="40">
        <v>8.7638427558909715E-2</v>
      </c>
    </row>
    <row r="334" spans="1:10" ht="11.25" customHeight="1" x14ac:dyDescent="0.2">
      <c r="A334" s="49">
        <v>44774</v>
      </c>
      <c r="B334" s="39">
        <v>0</v>
      </c>
      <c r="C334" s="39">
        <v>0</v>
      </c>
      <c r="D334" s="39">
        <v>50492.351779999997</v>
      </c>
      <c r="E334" s="39">
        <v>58149.396136436146</v>
      </c>
      <c r="F334" s="39">
        <v>17522.668229999999</v>
      </c>
      <c r="G334" s="39">
        <v>15826.353277628034</v>
      </c>
      <c r="H334" s="40">
        <v>0.15164760773668506</v>
      </c>
      <c r="I334" s="40">
        <v>-9.6806886377484358E-2</v>
      </c>
      <c r="J334" s="40">
        <v>8.7638427558909715E-2</v>
      </c>
    </row>
    <row r="335" spans="1:10" ht="11.25" customHeight="1" x14ac:dyDescent="0.2">
      <c r="A335" s="44" t="s">
        <v>42</v>
      </c>
      <c r="B335" s="39">
        <v>0</v>
      </c>
      <c r="C335" s="39">
        <v>0</v>
      </c>
      <c r="D335" s="39">
        <v>204602.49498000002</v>
      </c>
      <c r="E335" s="39">
        <v>235629.97388067408</v>
      </c>
      <c r="F335" s="39">
        <v>71004.449430000008</v>
      </c>
      <c r="G335" s="39">
        <v>64130.729761734146</v>
      </c>
      <c r="H335" s="40">
        <v>0.15164760773668484</v>
      </c>
      <c r="I335" s="40">
        <v>-9.680688637748458E-2</v>
      </c>
      <c r="J335" s="40">
        <v>8.7638427558909715E-2</v>
      </c>
    </row>
    <row r="336" spans="1:10" ht="11.25" customHeight="1" x14ac:dyDescent="0.2">
      <c r="A336" s="45" t="s">
        <v>25</v>
      </c>
      <c r="B336" s="39">
        <v>0</v>
      </c>
      <c r="C336" s="39">
        <v>0</v>
      </c>
      <c r="D336" s="39">
        <v>204602.49498000002</v>
      </c>
      <c r="E336" s="39">
        <v>235629.97388067408</v>
      </c>
      <c r="F336" s="39">
        <v>71004.449430000008</v>
      </c>
      <c r="G336" s="39">
        <v>64130.729761734146</v>
      </c>
      <c r="H336" s="40">
        <v>0.15164760773668484</v>
      </c>
      <c r="I336" s="40">
        <v>-9.680688637748458E-2</v>
      </c>
      <c r="J336" s="40">
        <v>8.7638427558909715E-2</v>
      </c>
    </row>
    <row r="337" spans="1:10" ht="11.25" customHeight="1" x14ac:dyDescent="0.2">
      <c r="A337" s="46" t="s">
        <v>25</v>
      </c>
      <c r="B337" s="39">
        <v>0</v>
      </c>
      <c r="C337" s="39">
        <v>0</v>
      </c>
      <c r="D337" s="39">
        <v>204602.49498000002</v>
      </c>
      <c r="E337" s="39">
        <v>235629.97388067408</v>
      </c>
      <c r="F337" s="39">
        <v>71004.449430000008</v>
      </c>
      <c r="G337" s="39">
        <v>64130.729761734146</v>
      </c>
      <c r="H337" s="40">
        <v>0.15164760773668484</v>
      </c>
      <c r="I337" s="40">
        <v>-9.680688637748458E-2</v>
      </c>
      <c r="J337" s="40">
        <v>8.7638427558909715E-2</v>
      </c>
    </row>
    <row r="338" spans="1:10" ht="11.25" customHeight="1" x14ac:dyDescent="0.2">
      <c r="A338" s="47" t="s">
        <v>25</v>
      </c>
      <c r="B338" s="39">
        <v>0</v>
      </c>
      <c r="C338" s="39">
        <v>0</v>
      </c>
      <c r="D338" s="39">
        <v>204602.49498000002</v>
      </c>
      <c r="E338" s="39">
        <v>235629.97388067408</v>
      </c>
      <c r="F338" s="39">
        <v>71004.449430000008</v>
      </c>
      <c r="G338" s="39">
        <v>64130.729761734146</v>
      </c>
      <c r="H338" s="40">
        <v>0.15164760773668484</v>
      </c>
      <c r="I338" s="40">
        <v>-9.680688637748458E-2</v>
      </c>
      <c r="J338" s="40">
        <v>8.7638427558909715E-2</v>
      </c>
    </row>
    <row r="339" spans="1:10" ht="11.25" customHeight="1" x14ac:dyDescent="0.2">
      <c r="A339" s="48" t="s">
        <v>25</v>
      </c>
      <c r="B339" s="39">
        <v>0</v>
      </c>
      <c r="C339" s="39">
        <v>0</v>
      </c>
      <c r="D339" s="39">
        <v>204602.49498000002</v>
      </c>
      <c r="E339" s="39">
        <v>235629.97388067408</v>
      </c>
      <c r="F339" s="39">
        <v>71004.449430000008</v>
      </c>
      <c r="G339" s="39">
        <v>64130.729761734146</v>
      </c>
      <c r="H339" s="40">
        <v>0.15164760773668484</v>
      </c>
      <c r="I339" s="40">
        <v>-9.680688637748458E-2</v>
      </c>
      <c r="J339" s="40">
        <v>8.7638427558909715E-2</v>
      </c>
    </row>
    <row r="340" spans="1:10" ht="11.25" customHeight="1" x14ac:dyDescent="0.2">
      <c r="A340" s="49">
        <v>44440</v>
      </c>
      <c r="B340" s="39">
        <v>0</v>
      </c>
      <c r="C340" s="39">
        <v>0</v>
      </c>
      <c r="D340" s="39">
        <v>14007.113379999999</v>
      </c>
      <c r="E340" s="39">
        <v>16131.25861537351</v>
      </c>
      <c r="F340" s="39">
        <v>4860.9738299999999</v>
      </c>
      <c r="G340" s="39">
        <v>4390.3980887552643</v>
      </c>
      <c r="H340" s="40">
        <v>0.15164760773668506</v>
      </c>
      <c r="I340" s="40">
        <v>-9.6806886377484469E-2</v>
      </c>
      <c r="J340" s="40">
        <v>8.7638427558909715E-2</v>
      </c>
    </row>
    <row r="341" spans="1:10" ht="11.25" customHeight="1" x14ac:dyDescent="0.2">
      <c r="A341" s="49">
        <v>44470</v>
      </c>
      <c r="B341" s="39">
        <v>0</v>
      </c>
      <c r="C341" s="39">
        <v>0</v>
      </c>
      <c r="D341" s="39">
        <v>12183.80358</v>
      </c>
      <c r="E341" s="39">
        <v>14031.448246040658</v>
      </c>
      <c r="F341" s="39">
        <v>4228.2195300000003</v>
      </c>
      <c r="G341" s="39">
        <v>3818.8987623802291</v>
      </c>
      <c r="H341" s="40">
        <v>0.15164760773668506</v>
      </c>
      <c r="I341" s="40">
        <v>-9.680688637748458E-2</v>
      </c>
      <c r="J341" s="40">
        <v>8.7638427558909493E-2</v>
      </c>
    </row>
    <row r="342" spans="1:10" ht="11.25" customHeight="1" x14ac:dyDescent="0.2">
      <c r="A342" s="49">
        <v>44501</v>
      </c>
      <c r="B342" s="39">
        <v>0</v>
      </c>
      <c r="C342" s="39">
        <v>0</v>
      </c>
      <c r="D342" s="39">
        <v>17246.701680000002</v>
      </c>
      <c r="E342" s="39">
        <v>19862.122731120267</v>
      </c>
      <c r="F342" s="39">
        <v>5985.2278800000004</v>
      </c>
      <c r="G342" s="39">
        <v>5405.8166046774877</v>
      </c>
      <c r="H342" s="40">
        <v>0.15164760773668484</v>
      </c>
      <c r="I342" s="40">
        <v>-9.680688637748458E-2</v>
      </c>
      <c r="J342" s="40">
        <v>8.7638427558909493E-2</v>
      </c>
    </row>
    <row r="343" spans="1:10" ht="11.25" customHeight="1" x14ac:dyDescent="0.2">
      <c r="A343" s="49">
        <v>44531</v>
      </c>
      <c r="B343" s="39">
        <v>0</v>
      </c>
      <c r="C343" s="39">
        <v>0</v>
      </c>
      <c r="D343" s="39">
        <v>19075.24814</v>
      </c>
      <c r="E343" s="39">
        <v>21967.963887414651</v>
      </c>
      <c r="F343" s="39">
        <v>6619.7994900000003</v>
      </c>
      <c r="G343" s="39">
        <v>5978.9573129298406</v>
      </c>
      <c r="H343" s="40">
        <v>0.15164760773668506</v>
      </c>
      <c r="I343" s="40">
        <v>-9.6806886377484469E-2</v>
      </c>
      <c r="J343" s="40">
        <v>8.7638427558909715E-2</v>
      </c>
    </row>
    <row r="344" spans="1:10" ht="11.25" customHeight="1" x14ac:dyDescent="0.2">
      <c r="A344" s="49">
        <v>44562</v>
      </c>
      <c r="B344" s="39">
        <v>0</v>
      </c>
      <c r="C344" s="39">
        <v>0</v>
      </c>
      <c r="D344" s="39">
        <v>14998.746360000001</v>
      </c>
      <c r="E344" s="39">
        <v>17273.27036454331</v>
      </c>
      <c r="F344" s="39">
        <v>5205.1062600000005</v>
      </c>
      <c r="G344" s="39">
        <v>4701.2161297054472</v>
      </c>
      <c r="H344" s="40">
        <v>0.15164760773668484</v>
      </c>
      <c r="I344" s="40">
        <v>-9.6806886377484469E-2</v>
      </c>
      <c r="J344" s="40">
        <v>8.7638427558909715E-2</v>
      </c>
    </row>
    <row r="345" spans="1:10" ht="11.25" customHeight="1" x14ac:dyDescent="0.2">
      <c r="A345" s="49">
        <v>44593</v>
      </c>
      <c r="B345" s="39">
        <v>0</v>
      </c>
      <c r="C345" s="39">
        <v>0</v>
      </c>
      <c r="D345" s="39">
        <v>24490.430640000002</v>
      </c>
      <c r="E345" s="39">
        <v>28204.345858997211</v>
      </c>
      <c r="F345" s="39">
        <v>8499.0632400000013</v>
      </c>
      <c r="G345" s="39">
        <v>7676.2953906102657</v>
      </c>
      <c r="H345" s="40">
        <v>0.15164760773668484</v>
      </c>
      <c r="I345" s="40">
        <v>-9.6806886377484469E-2</v>
      </c>
      <c r="J345" s="40">
        <v>8.7638427558909715E-2</v>
      </c>
    </row>
    <row r="346" spans="1:10" ht="11.25" customHeight="1" x14ac:dyDescent="0.2">
      <c r="A346" s="49">
        <v>44621</v>
      </c>
      <c r="B346" s="39">
        <v>0</v>
      </c>
      <c r="C346" s="39">
        <v>0</v>
      </c>
      <c r="D346" s="39">
        <v>24566.124180000003</v>
      </c>
      <c r="E346" s="39">
        <v>28291.518143259331</v>
      </c>
      <c r="F346" s="39">
        <v>8525.3316300000006</v>
      </c>
      <c r="G346" s="39">
        <v>7700.0208195642153</v>
      </c>
      <c r="H346" s="40">
        <v>0.15164760773668484</v>
      </c>
      <c r="I346" s="40">
        <v>-9.680688637748458E-2</v>
      </c>
      <c r="J346" s="40">
        <v>8.7638427558909493E-2</v>
      </c>
    </row>
    <row r="347" spans="1:10" ht="11.25" customHeight="1" x14ac:dyDescent="0.2">
      <c r="A347" s="49">
        <v>44652</v>
      </c>
      <c r="B347" s="39">
        <v>0</v>
      </c>
      <c r="C347" s="39">
        <v>0</v>
      </c>
      <c r="D347" s="39">
        <v>18016.966759999999</v>
      </c>
      <c r="E347" s="39">
        <v>20749.19666782537</v>
      </c>
      <c r="F347" s="39">
        <v>6252.53766</v>
      </c>
      <c r="G347" s="39">
        <v>5647.2489571774368</v>
      </c>
      <c r="H347" s="40">
        <v>0.15164760773668484</v>
      </c>
      <c r="I347" s="40">
        <v>-9.680688637748458E-2</v>
      </c>
      <c r="J347" s="40">
        <v>8.7638427558909715E-2</v>
      </c>
    </row>
    <row r="348" spans="1:10" ht="11.25" customHeight="1" x14ac:dyDescent="0.2">
      <c r="A348" s="49">
        <v>44682</v>
      </c>
      <c r="B348" s="39">
        <v>0</v>
      </c>
      <c r="C348" s="39">
        <v>0</v>
      </c>
      <c r="D348" s="39">
        <v>15619.528600000001</v>
      </c>
      <c r="E348" s="39">
        <v>17988.192746164732</v>
      </c>
      <c r="F348" s="39">
        <v>5420.5401000000011</v>
      </c>
      <c r="G348" s="39">
        <v>4895.7944904347023</v>
      </c>
      <c r="H348" s="40">
        <v>0.15164760773668484</v>
      </c>
      <c r="I348" s="40">
        <v>-9.680688637748458E-2</v>
      </c>
      <c r="J348" s="40">
        <v>8.7638427558909493E-2</v>
      </c>
    </row>
    <row r="349" spans="1:10" ht="11.25" customHeight="1" x14ac:dyDescent="0.2">
      <c r="A349" s="49">
        <v>44713</v>
      </c>
      <c r="B349" s="39">
        <v>0</v>
      </c>
      <c r="C349" s="39">
        <v>0</v>
      </c>
      <c r="D349" s="39">
        <v>15561.449280000001</v>
      </c>
      <c r="E349" s="39">
        <v>17921.305836227759</v>
      </c>
      <c r="F349" s="39">
        <v>5400.3844800000006</v>
      </c>
      <c r="G349" s="39">
        <v>4877.5900732499094</v>
      </c>
      <c r="H349" s="40">
        <v>0.15164760773668484</v>
      </c>
      <c r="I349" s="40">
        <v>-9.680688637748458E-2</v>
      </c>
      <c r="J349" s="40">
        <v>8.7638427558909715E-2</v>
      </c>
    </row>
    <row r="350" spans="1:10" ht="11.25" customHeight="1" x14ac:dyDescent="0.2">
      <c r="A350" s="49">
        <v>44743</v>
      </c>
      <c r="B350" s="39">
        <v>0</v>
      </c>
      <c r="C350" s="39">
        <v>0</v>
      </c>
      <c r="D350" s="39">
        <v>14109.94234</v>
      </c>
      <c r="E350" s="39">
        <v>16249.681341163563</v>
      </c>
      <c r="F350" s="39">
        <v>4896.6591900000003</v>
      </c>
      <c r="G350" s="39">
        <v>4422.6288601644046</v>
      </c>
      <c r="H350" s="40">
        <v>0.15164760773668506</v>
      </c>
      <c r="I350" s="40">
        <v>-9.680688637748458E-2</v>
      </c>
      <c r="J350" s="40">
        <v>8.7638427558909715E-2</v>
      </c>
    </row>
    <row r="351" spans="1:10" ht="11.25" customHeight="1" x14ac:dyDescent="0.2">
      <c r="A351" s="49">
        <v>44774</v>
      </c>
      <c r="B351" s="39">
        <v>0</v>
      </c>
      <c r="C351" s="39">
        <v>0</v>
      </c>
      <c r="D351" s="39">
        <v>14726.440040000001</v>
      </c>
      <c r="E351" s="39">
        <v>16959.669442543731</v>
      </c>
      <c r="F351" s="39">
        <v>5110.6061400000008</v>
      </c>
      <c r="G351" s="39">
        <v>4615.8642720849457</v>
      </c>
      <c r="H351" s="40">
        <v>0.15164760773668484</v>
      </c>
      <c r="I351" s="40">
        <v>-9.680688637748458E-2</v>
      </c>
      <c r="J351" s="40">
        <v>8.7638427558909715E-2</v>
      </c>
    </row>
    <row r="352" spans="1:10" ht="11.25" customHeight="1" x14ac:dyDescent="0.2">
      <c r="A352" s="44" t="s">
        <v>47</v>
      </c>
      <c r="B352" s="39">
        <v>0</v>
      </c>
      <c r="C352" s="39">
        <v>0</v>
      </c>
      <c r="D352" s="39">
        <v>43943.698983599992</v>
      </c>
      <c r="E352" s="39">
        <v>50607.655809563934</v>
      </c>
      <c r="F352" s="39">
        <v>15250.049382600002</v>
      </c>
      <c r="G352" s="39">
        <v>13773.739584767613</v>
      </c>
      <c r="H352" s="40">
        <v>0.15164760773668506</v>
      </c>
      <c r="I352" s="40">
        <v>-9.6806886377484691E-2</v>
      </c>
      <c r="J352" s="40">
        <v>8.7638427558909715E-2</v>
      </c>
    </row>
    <row r="353" spans="1:10" ht="11.25" customHeight="1" x14ac:dyDescent="0.2">
      <c r="A353" s="45" t="s">
        <v>48</v>
      </c>
      <c r="B353" s="39">
        <v>0</v>
      </c>
      <c r="C353" s="39">
        <v>0</v>
      </c>
      <c r="D353" s="39">
        <v>43943.698983599992</v>
      </c>
      <c r="E353" s="39">
        <v>50607.655809563934</v>
      </c>
      <c r="F353" s="39">
        <v>15250.049382600002</v>
      </c>
      <c r="G353" s="39">
        <v>13773.739584767613</v>
      </c>
      <c r="H353" s="40">
        <v>0.15164760773668506</v>
      </c>
      <c r="I353" s="40">
        <v>-9.6806886377484691E-2</v>
      </c>
      <c r="J353" s="40">
        <v>8.7638427558909715E-2</v>
      </c>
    </row>
    <row r="354" spans="1:10" ht="11.25" customHeight="1" x14ac:dyDescent="0.2">
      <c r="A354" s="46" t="s">
        <v>25</v>
      </c>
      <c r="B354" s="39">
        <v>0</v>
      </c>
      <c r="C354" s="39">
        <v>0</v>
      </c>
      <c r="D354" s="39">
        <v>43943.698983599992</v>
      </c>
      <c r="E354" s="39">
        <v>50607.655809563934</v>
      </c>
      <c r="F354" s="39">
        <v>15250.049382600002</v>
      </c>
      <c r="G354" s="39">
        <v>13773.739584767613</v>
      </c>
      <c r="H354" s="40">
        <v>0.15164760773668506</v>
      </c>
      <c r="I354" s="40">
        <v>-9.6806886377484691E-2</v>
      </c>
      <c r="J354" s="40">
        <v>8.7638427558909715E-2</v>
      </c>
    </row>
    <row r="355" spans="1:10" ht="11.25" customHeight="1" x14ac:dyDescent="0.2">
      <c r="A355" s="47" t="s">
        <v>25</v>
      </c>
      <c r="B355" s="39">
        <v>0</v>
      </c>
      <c r="C355" s="39">
        <v>0</v>
      </c>
      <c r="D355" s="39">
        <v>43943.698983599992</v>
      </c>
      <c r="E355" s="39">
        <v>50607.655809563934</v>
      </c>
      <c r="F355" s="39">
        <v>15250.049382600002</v>
      </c>
      <c r="G355" s="39">
        <v>13773.739584767613</v>
      </c>
      <c r="H355" s="40">
        <v>0.15164760773668506</v>
      </c>
      <c r="I355" s="40">
        <v>-9.6806886377484691E-2</v>
      </c>
      <c r="J355" s="40">
        <v>8.7638427558909715E-2</v>
      </c>
    </row>
    <row r="356" spans="1:10" ht="11.25" customHeight="1" x14ac:dyDescent="0.2">
      <c r="A356" s="48" t="s">
        <v>25</v>
      </c>
      <c r="B356" s="39">
        <v>0</v>
      </c>
      <c r="C356" s="39">
        <v>0</v>
      </c>
      <c r="D356" s="39">
        <v>43943.698983599992</v>
      </c>
      <c r="E356" s="39">
        <v>50607.655809563934</v>
      </c>
      <c r="F356" s="39">
        <v>15250.049382600002</v>
      </c>
      <c r="G356" s="39">
        <v>13773.739584767613</v>
      </c>
      <c r="H356" s="40">
        <v>0.15164760773668506</v>
      </c>
      <c r="I356" s="40">
        <v>-9.6806886377484691E-2</v>
      </c>
      <c r="J356" s="40">
        <v>8.7638427558909715E-2</v>
      </c>
    </row>
    <row r="357" spans="1:10" ht="11.25" customHeight="1" x14ac:dyDescent="0.2">
      <c r="A357" s="49">
        <v>44440</v>
      </c>
      <c r="B357" s="39">
        <v>0</v>
      </c>
      <c r="C357" s="39">
        <v>0</v>
      </c>
      <c r="D357" s="39">
        <v>3416.1875175999999</v>
      </c>
      <c r="E357" s="39">
        <v>3934.2441822239643</v>
      </c>
      <c r="F357" s="39">
        <v>1185.5403516000001</v>
      </c>
      <c r="G357" s="39">
        <v>1070.7718814867358</v>
      </c>
      <c r="H357" s="40">
        <v>0.15164760773668506</v>
      </c>
      <c r="I357" s="40">
        <v>-9.680688637748458E-2</v>
      </c>
      <c r="J357" s="40">
        <v>8.7638427558909715E-2</v>
      </c>
    </row>
    <row r="358" spans="1:10" ht="11.25" customHeight="1" x14ac:dyDescent="0.2">
      <c r="A358" s="49">
        <v>44470</v>
      </c>
      <c r="B358" s="39">
        <v>0</v>
      </c>
      <c r="C358" s="39">
        <v>0</v>
      </c>
      <c r="D358" s="39">
        <v>3263.5912451999998</v>
      </c>
      <c r="E358" s="39">
        <v>3758.5070501649684</v>
      </c>
      <c r="F358" s="39">
        <v>1132.5839381999999</v>
      </c>
      <c r="G358" s="39">
        <v>1022.9420135817087</v>
      </c>
      <c r="H358" s="40">
        <v>0.15164760773668484</v>
      </c>
      <c r="I358" s="40">
        <v>-9.6806886377484469E-2</v>
      </c>
      <c r="J358" s="40">
        <v>8.7638427558909715E-2</v>
      </c>
    </row>
    <row r="359" spans="1:10" ht="11.25" customHeight="1" x14ac:dyDescent="0.2">
      <c r="A359" s="49">
        <v>44501</v>
      </c>
      <c r="B359" s="39">
        <v>0</v>
      </c>
      <c r="C359" s="39">
        <v>0</v>
      </c>
      <c r="D359" s="39">
        <v>3098.0175771999998</v>
      </c>
      <c r="E359" s="39">
        <v>3567.8245315085805</v>
      </c>
      <c r="F359" s="39">
        <v>1075.1239002</v>
      </c>
      <c r="G359" s="39">
        <v>971.04450295162053</v>
      </c>
      <c r="H359" s="40">
        <v>0.15164760773668506</v>
      </c>
      <c r="I359" s="40">
        <v>-9.680688637748458E-2</v>
      </c>
      <c r="J359" s="40">
        <v>8.7638427558909715E-2</v>
      </c>
    </row>
    <row r="360" spans="1:10" ht="11.25" customHeight="1" x14ac:dyDescent="0.2">
      <c r="A360" s="49">
        <v>44531</v>
      </c>
      <c r="B360" s="39">
        <v>0</v>
      </c>
      <c r="C360" s="39">
        <v>0</v>
      </c>
      <c r="D360" s="39">
        <v>3391.5752155999999</v>
      </c>
      <c r="E360" s="39">
        <v>3905.8994835047715</v>
      </c>
      <c r="F360" s="39">
        <v>1176.9989946000001</v>
      </c>
      <c r="G360" s="39">
        <v>1063.0573866633442</v>
      </c>
      <c r="H360" s="40">
        <v>0.15164760773668506</v>
      </c>
      <c r="I360" s="40">
        <v>-9.680688637748458E-2</v>
      </c>
      <c r="J360" s="40">
        <v>8.7638427558909493E-2</v>
      </c>
    </row>
    <row r="361" spans="1:10" ht="11.25" customHeight="1" x14ac:dyDescent="0.2">
      <c r="A361" s="49">
        <v>44562</v>
      </c>
      <c r="B361" s="39">
        <v>0</v>
      </c>
      <c r="C361" s="39">
        <v>0</v>
      </c>
      <c r="D361" s="39">
        <v>5723.9264523999991</v>
      </c>
      <c r="E361" s="39">
        <v>6591.946205767189</v>
      </c>
      <c r="F361" s="39">
        <v>1986.4090434</v>
      </c>
      <c r="G361" s="39">
        <v>1794.1109688363683</v>
      </c>
      <c r="H361" s="40">
        <v>0.15164760773668506</v>
      </c>
      <c r="I361" s="40">
        <v>-9.680688637748458E-2</v>
      </c>
      <c r="J361" s="40">
        <v>8.7638427558909493E-2</v>
      </c>
    </row>
    <row r="362" spans="1:10" ht="11.25" customHeight="1" x14ac:dyDescent="0.2">
      <c r="A362" s="49">
        <v>44593</v>
      </c>
      <c r="B362" s="39">
        <v>0</v>
      </c>
      <c r="C362" s="39">
        <v>0</v>
      </c>
      <c r="D362" s="39">
        <v>3764.7872132000002</v>
      </c>
      <c r="E362" s="39">
        <v>4335.7081877194414</v>
      </c>
      <c r="F362" s="39">
        <v>1306.5170262000001</v>
      </c>
      <c r="G362" s="39">
        <v>1180.0371808944078</v>
      </c>
      <c r="H362" s="40">
        <v>0.15164760773668506</v>
      </c>
      <c r="I362" s="40">
        <v>-9.6806886377484469E-2</v>
      </c>
      <c r="J362" s="40">
        <v>8.7638427558909715E-2</v>
      </c>
    </row>
    <row r="363" spans="1:10" ht="11.25" customHeight="1" x14ac:dyDescent="0.2">
      <c r="A363" s="49">
        <v>44621</v>
      </c>
      <c r="B363" s="39">
        <v>0</v>
      </c>
      <c r="C363" s="39">
        <v>0</v>
      </c>
      <c r="D363" s="39">
        <v>3017.0207288000001</v>
      </c>
      <c r="E363" s="39">
        <v>3474.5447048145097</v>
      </c>
      <c r="F363" s="39">
        <v>1047.0150708000001</v>
      </c>
      <c r="G363" s="39">
        <v>945.65680180555057</v>
      </c>
      <c r="H363" s="40">
        <v>0.15164760773668484</v>
      </c>
      <c r="I363" s="40">
        <v>-9.680688637748458E-2</v>
      </c>
      <c r="J363" s="40">
        <v>8.7638427558909715E-2</v>
      </c>
    </row>
    <row r="364" spans="1:10" ht="11.25" customHeight="1" x14ac:dyDescent="0.2">
      <c r="A364" s="49">
        <v>44652</v>
      </c>
      <c r="B364" s="39">
        <v>0</v>
      </c>
      <c r="C364" s="39">
        <v>0</v>
      </c>
      <c r="D364" s="39">
        <v>3053.2679371999998</v>
      </c>
      <c r="E364" s="39">
        <v>3516.288715655503</v>
      </c>
      <c r="F364" s="39">
        <v>1059.5941602</v>
      </c>
      <c r="G364" s="39">
        <v>957.01814872727255</v>
      </c>
      <c r="H364" s="40">
        <v>0.15164760773668506</v>
      </c>
      <c r="I364" s="40">
        <v>-9.6806886377484469E-2</v>
      </c>
      <c r="J364" s="40">
        <v>8.7638427558909937E-2</v>
      </c>
    </row>
    <row r="365" spans="1:10" ht="11.25" customHeight="1" x14ac:dyDescent="0.2">
      <c r="A365" s="49">
        <v>44682</v>
      </c>
      <c r="B365" s="39">
        <v>0</v>
      </c>
      <c r="C365" s="39">
        <v>0</v>
      </c>
      <c r="D365" s="39">
        <v>5156.5010171999993</v>
      </c>
      <c r="E365" s="39">
        <v>5938.4720607501622</v>
      </c>
      <c r="F365" s="39">
        <v>1789.4919402</v>
      </c>
      <c r="G365" s="39">
        <v>1616.2567972716342</v>
      </c>
      <c r="H365" s="40">
        <v>0.15164760773668506</v>
      </c>
      <c r="I365" s="40">
        <v>-9.680688637748458E-2</v>
      </c>
      <c r="J365" s="40">
        <v>8.7638427558909715E-2</v>
      </c>
    </row>
    <row r="366" spans="1:10" ht="11.25" customHeight="1" x14ac:dyDescent="0.2">
      <c r="A366" s="49">
        <v>44713</v>
      </c>
      <c r="B366" s="39">
        <v>0</v>
      </c>
      <c r="C366" s="39">
        <v>0</v>
      </c>
      <c r="D366" s="39">
        <v>2459.8877108000001</v>
      </c>
      <c r="E366" s="39">
        <v>2832.9237974436905</v>
      </c>
      <c r="F366" s="39">
        <v>853.66980780000006</v>
      </c>
      <c r="G366" s="39">
        <v>771.02869171241639</v>
      </c>
      <c r="H366" s="40">
        <v>0.15164760773668506</v>
      </c>
      <c r="I366" s="40">
        <v>-9.680688637748458E-2</v>
      </c>
      <c r="J366" s="40">
        <v>8.7638427558909715E-2</v>
      </c>
    </row>
    <row r="367" spans="1:10" ht="11.25" customHeight="1" x14ac:dyDescent="0.2">
      <c r="A367" s="49">
        <v>44743</v>
      </c>
      <c r="B367" s="39">
        <v>0</v>
      </c>
      <c r="C367" s="39">
        <v>0</v>
      </c>
      <c r="D367" s="39">
        <v>3119.049908</v>
      </c>
      <c r="E367" s="39">
        <v>3592.0463649595272</v>
      </c>
      <c r="F367" s="39">
        <v>1082.4228780000001</v>
      </c>
      <c r="G367" s="39">
        <v>977.63688943706427</v>
      </c>
      <c r="H367" s="40">
        <v>0.15164760773668484</v>
      </c>
      <c r="I367" s="40">
        <v>-9.680688637748458E-2</v>
      </c>
      <c r="J367" s="40">
        <v>8.7638427558909493E-2</v>
      </c>
    </row>
    <row r="368" spans="1:10" ht="11.25" customHeight="1" x14ac:dyDescent="0.2">
      <c r="A368" s="49">
        <v>44774</v>
      </c>
      <c r="B368" s="39">
        <v>0</v>
      </c>
      <c r="C368" s="39">
        <v>0</v>
      </c>
      <c r="D368" s="39">
        <v>4479.8864604</v>
      </c>
      <c r="E368" s="39">
        <v>5159.2505250516251</v>
      </c>
      <c r="F368" s="39">
        <v>1554.6822714</v>
      </c>
      <c r="G368" s="39">
        <v>1404.1783213994906</v>
      </c>
      <c r="H368" s="40">
        <v>0.15164760773668484</v>
      </c>
      <c r="I368" s="40">
        <v>-9.6806886377484469E-2</v>
      </c>
      <c r="J368" s="40">
        <v>8.7638427558909715E-2</v>
      </c>
    </row>
    <row r="369" spans="1:10" ht="11.25" customHeight="1" x14ac:dyDescent="0.2">
      <c r="A369" s="42" t="s">
        <v>43</v>
      </c>
      <c r="B369" s="39">
        <v>0</v>
      </c>
      <c r="C369" s="39">
        <v>0</v>
      </c>
      <c r="D369" s="39">
        <v>512237.7006199999</v>
      </c>
      <c r="E369" s="39">
        <v>589924.06950586883</v>
      </c>
      <c r="F369" s="39">
        <v>177756.24076000004</v>
      </c>
      <c r="G369" s="39">
        <v>160557.93097266168</v>
      </c>
      <c r="H369" s="40">
        <v>0.1516607793449003</v>
      </c>
      <c r="I369" s="40">
        <v>-9.6752213670848852E-2</v>
      </c>
      <c r="J369" s="40">
        <v>8.7664623514741802E-2</v>
      </c>
    </row>
    <row r="370" spans="1:10" ht="11.25" customHeight="1" x14ac:dyDescent="0.2">
      <c r="A370" s="43" t="s">
        <v>23</v>
      </c>
      <c r="B370" s="39">
        <v>0</v>
      </c>
      <c r="C370" s="39">
        <v>0</v>
      </c>
      <c r="D370" s="39">
        <v>512237.7006199999</v>
      </c>
      <c r="E370" s="39">
        <v>589924.06950586883</v>
      </c>
      <c r="F370" s="39">
        <v>177756.24076000004</v>
      </c>
      <c r="G370" s="39">
        <v>160557.93097266168</v>
      </c>
      <c r="H370" s="40">
        <v>0.1516607793449003</v>
      </c>
      <c r="I370" s="40">
        <v>-9.6752213670848852E-2</v>
      </c>
      <c r="J370" s="40">
        <v>8.7664623514741802E-2</v>
      </c>
    </row>
    <row r="371" spans="1:10" ht="11.25" customHeight="1" x14ac:dyDescent="0.2">
      <c r="A371" s="44" t="s">
        <v>44</v>
      </c>
      <c r="B371" s="39">
        <v>0</v>
      </c>
      <c r="C371" s="39">
        <v>0</v>
      </c>
      <c r="D371" s="39">
        <v>512237.7006199999</v>
      </c>
      <c r="E371" s="39">
        <v>589924.06950586883</v>
      </c>
      <c r="F371" s="39">
        <v>177756.24076000004</v>
      </c>
      <c r="G371" s="39">
        <v>160557.93097266168</v>
      </c>
      <c r="H371" s="40">
        <v>0.1516607793449003</v>
      </c>
      <c r="I371" s="40">
        <v>-9.6752213670848852E-2</v>
      </c>
      <c r="J371" s="40">
        <v>8.7664623514741802E-2</v>
      </c>
    </row>
    <row r="372" spans="1:10" ht="11.25" customHeight="1" x14ac:dyDescent="0.2">
      <c r="A372" s="45" t="s">
        <v>45</v>
      </c>
      <c r="B372" s="39">
        <v>0</v>
      </c>
      <c r="C372" s="39">
        <v>0</v>
      </c>
      <c r="D372" s="39">
        <v>511822.6656999999</v>
      </c>
      <c r="E372" s="39">
        <v>589446.10222649958</v>
      </c>
      <c r="F372" s="39">
        <v>177612.21940000003</v>
      </c>
      <c r="G372" s="39">
        <v>160427.84399805756</v>
      </c>
      <c r="H372" s="40">
        <v>0.15166080310323338</v>
      </c>
      <c r="I372" s="40">
        <v>-9.6752213670848741E-2</v>
      </c>
      <c r="J372" s="40">
        <v>8.7664640172350206E-2</v>
      </c>
    </row>
    <row r="373" spans="1:10" ht="11.25" customHeight="1" x14ac:dyDescent="0.2">
      <c r="A373" s="46" t="s">
        <v>25</v>
      </c>
      <c r="B373" s="39">
        <v>0</v>
      </c>
      <c r="C373" s="39">
        <v>0</v>
      </c>
      <c r="D373" s="39">
        <v>511822.6656999999</v>
      </c>
      <c r="E373" s="39">
        <v>589446.10222649958</v>
      </c>
      <c r="F373" s="39">
        <v>177612.21940000003</v>
      </c>
      <c r="G373" s="39">
        <v>160427.84399805756</v>
      </c>
      <c r="H373" s="40">
        <v>0.15166080310323338</v>
      </c>
      <c r="I373" s="40">
        <v>-9.6752213670848741E-2</v>
      </c>
      <c r="J373" s="40">
        <v>8.7664640172350206E-2</v>
      </c>
    </row>
    <row r="374" spans="1:10" ht="11.25" customHeight="1" x14ac:dyDescent="0.2">
      <c r="A374" s="47" t="s">
        <v>25</v>
      </c>
      <c r="B374" s="39">
        <v>0</v>
      </c>
      <c r="C374" s="39">
        <v>0</v>
      </c>
      <c r="D374" s="39">
        <v>511822.6656999999</v>
      </c>
      <c r="E374" s="39">
        <v>589446.10222649958</v>
      </c>
      <c r="F374" s="39">
        <v>177612.21940000003</v>
      </c>
      <c r="G374" s="39">
        <v>160427.84399805756</v>
      </c>
      <c r="H374" s="40">
        <v>0.15166080310323338</v>
      </c>
      <c r="I374" s="40">
        <v>-9.6752213670848741E-2</v>
      </c>
      <c r="J374" s="40">
        <v>8.7664640172350206E-2</v>
      </c>
    </row>
    <row r="375" spans="1:10" ht="11.25" customHeight="1" x14ac:dyDescent="0.2">
      <c r="A375" s="48" t="s">
        <v>25</v>
      </c>
      <c r="B375" s="39">
        <v>0</v>
      </c>
      <c r="C375" s="39">
        <v>0</v>
      </c>
      <c r="D375" s="39">
        <v>511822.6656999999</v>
      </c>
      <c r="E375" s="39">
        <v>589446.10222649958</v>
      </c>
      <c r="F375" s="39">
        <v>177612.21940000003</v>
      </c>
      <c r="G375" s="39">
        <v>160427.84399805756</v>
      </c>
      <c r="H375" s="40">
        <v>0.15166080310323338</v>
      </c>
      <c r="I375" s="40">
        <v>-9.6752213670848741E-2</v>
      </c>
      <c r="J375" s="40">
        <v>8.7664640172350206E-2</v>
      </c>
    </row>
    <row r="376" spans="1:10" ht="11.25" customHeight="1" x14ac:dyDescent="0.2">
      <c r="A376" s="49">
        <v>44440</v>
      </c>
      <c r="B376" s="39">
        <v>0</v>
      </c>
      <c r="C376" s="39">
        <v>0</v>
      </c>
      <c r="D376" s="39">
        <v>41794.87558</v>
      </c>
      <c r="E376" s="39">
        <v>48133.519976062496</v>
      </c>
      <c r="F376" s="39">
        <v>14503.61836</v>
      </c>
      <c r="G376" s="39">
        <v>13100.361177432838</v>
      </c>
      <c r="H376" s="40">
        <v>0.15166080310323293</v>
      </c>
      <c r="I376" s="40">
        <v>-9.6752213670848519E-2</v>
      </c>
      <c r="J376" s="40">
        <v>8.7664640172350206E-2</v>
      </c>
    </row>
    <row r="377" spans="1:10" ht="11.25" customHeight="1" x14ac:dyDescent="0.2">
      <c r="A377" s="49">
        <v>44470</v>
      </c>
      <c r="B377" s="39">
        <v>0</v>
      </c>
      <c r="C377" s="39">
        <v>0</v>
      </c>
      <c r="D377" s="39">
        <v>43550.707559999995</v>
      </c>
      <c r="E377" s="39">
        <v>50155.642844263632</v>
      </c>
      <c r="F377" s="39">
        <v>15112.925519999999</v>
      </c>
      <c r="G377" s="39">
        <v>13650.71652089734</v>
      </c>
      <c r="H377" s="40">
        <v>0.15166080310323293</v>
      </c>
      <c r="I377" s="40">
        <v>-9.6752213670848519E-2</v>
      </c>
      <c r="J377" s="40">
        <v>8.7664640172350206E-2</v>
      </c>
    </row>
    <row r="378" spans="1:10" ht="11.25" customHeight="1" x14ac:dyDescent="0.2">
      <c r="A378" s="49">
        <v>44501</v>
      </c>
      <c r="B378" s="39">
        <v>0</v>
      </c>
      <c r="C378" s="39">
        <v>0</v>
      </c>
      <c r="D378" s="39">
        <v>42240.24841</v>
      </c>
      <c r="E378" s="39">
        <v>48646.438407140653</v>
      </c>
      <c r="F378" s="39">
        <v>14658.17122</v>
      </c>
      <c r="G378" s="39">
        <v>13239.960706098678</v>
      </c>
      <c r="H378" s="40">
        <v>0.15166080310323271</v>
      </c>
      <c r="I378" s="40">
        <v>-9.6752213670848519E-2</v>
      </c>
      <c r="J378" s="40">
        <v>8.7664640172349984E-2</v>
      </c>
    </row>
    <row r="379" spans="1:10" ht="11.25" customHeight="1" x14ac:dyDescent="0.2">
      <c r="A379" s="49">
        <v>44531</v>
      </c>
      <c r="B379" s="39">
        <v>0</v>
      </c>
      <c r="C379" s="39">
        <v>0</v>
      </c>
      <c r="D379" s="39">
        <v>43258.767110000001</v>
      </c>
      <c r="E379" s="39">
        <v>49819.426471158316</v>
      </c>
      <c r="F379" s="39">
        <v>15011.616620000001</v>
      </c>
      <c r="G379" s="39">
        <v>13559.2094812369</v>
      </c>
      <c r="H379" s="40">
        <v>0.15166080310323293</v>
      </c>
      <c r="I379" s="40">
        <v>-9.6752213670848519E-2</v>
      </c>
      <c r="J379" s="40">
        <v>8.7664640172349984E-2</v>
      </c>
    </row>
    <row r="380" spans="1:10" ht="11.25" customHeight="1" x14ac:dyDescent="0.2">
      <c r="A380" s="49">
        <v>44562</v>
      </c>
      <c r="B380" s="39">
        <v>0</v>
      </c>
      <c r="C380" s="39">
        <v>0</v>
      </c>
      <c r="D380" s="39">
        <v>43729.537449999996</v>
      </c>
      <c r="E380" s="39">
        <v>50361.59421899989</v>
      </c>
      <c r="F380" s="39">
        <v>15174.982899999999</v>
      </c>
      <c r="G380" s="39">
        <v>13706.769712007726</v>
      </c>
      <c r="H380" s="40">
        <v>0.15166080310323271</v>
      </c>
      <c r="I380" s="40">
        <v>-9.6752213670848519E-2</v>
      </c>
      <c r="J380" s="40">
        <v>8.7664640172350206E-2</v>
      </c>
    </row>
    <row r="381" spans="1:10" ht="11.25" customHeight="1" x14ac:dyDescent="0.2">
      <c r="A381" s="49">
        <v>44593</v>
      </c>
      <c r="B381" s="39">
        <v>0</v>
      </c>
      <c r="C381" s="39">
        <v>0</v>
      </c>
      <c r="D381" s="39">
        <v>39047.23156</v>
      </c>
      <c r="E381" s="39">
        <v>44969.166057347502</v>
      </c>
      <c r="F381" s="39">
        <v>13550.133520000001</v>
      </c>
      <c r="G381" s="39">
        <v>12239.128106404434</v>
      </c>
      <c r="H381" s="40">
        <v>0.15166080310323293</v>
      </c>
      <c r="I381" s="40">
        <v>-9.6752213670848519E-2</v>
      </c>
      <c r="J381" s="40">
        <v>8.7664640172350206E-2</v>
      </c>
    </row>
    <row r="382" spans="1:10" ht="11.25" customHeight="1" x14ac:dyDescent="0.2">
      <c r="A382" s="49">
        <v>44621</v>
      </c>
      <c r="B382" s="39">
        <v>0</v>
      </c>
      <c r="C382" s="39">
        <v>0</v>
      </c>
      <c r="D382" s="39">
        <v>43253.79234</v>
      </c>
      <c r="E382" s="39">
        <v>49813.697223544863</v>
      </c>
      <c r="F382" s="39">
        <v>15009.890280000001</v>
      </c>
      <c r="G382" s="39">
        <v>13557.650168453449</v>
      </c>
      <c r="H382" s="40">
        <v>0.15166080310323293</v>
      </c>
      <c r="I382" s="40">
        <v>-9.6752213670848519E-2</v>
      </c>
      <c r="J382" s="40">
        <v>8.7664640172350206E-2</v>
      </c>
    </row>
    <row r="383" spans="1:10" ht="11.25" customHeight="1" x14ac:dyDescent="0.2">
      <c r="A383" s="49">
        <v>44652</v>
      </c>
      <c r="B383" s="39">
        <v>0</v>
      </c>
      <c r="C383" s="39">
        <v>0</v>
      </c>
      <c r="D383" s="39">
        <v>42124.519549999997</v>
      </c>
      <c r="E383" s="39">
        <v>48513.158015290828</v>
      </c>
      <c r="F383" s="39">
        <v>14618.0111</v>
      </c>
      <c r="G383" s="39">
        <v>13203.686166609965</v>
      </c>
      <c r="H383" s="40">
        <v>0.15166080310323271</v>
      </c>
      <c r="I383" s="40">
        <v>-9.6752213670848519E-2</v>
      </c>
      <c r="J383" s="40">
        <v>8.7664640172349984E-2</v>
      </c>
    </row>
    <row r="384" spans="1:10" ht="11.25" customHeight="1" x14ac:dyDescent="0.2">
      <c r="A384" s="49">
        <v>44682</v>
      </c>
      <c r="B384" s="39">
        <v>0</v>
      </c>
      <c r="C384" s="39">
        <v>0</v>
      </c>
      <c r="D384" s="39">
        <v>43528.713839999997</v>
      </c>
      <c r="E384" s="39">
        <v>50130.313539025199</v>
      </c>
      <c r="F384" s="39">
        <v>15105.29328</v>
      </c>
      <c r="G384" s="39">
        <v>13643.822717012607</v>
      </c>
      <c r="H384" s="40">
        <v>0.15166080310323271</v>
      </c>
      <c r="I384" s="40">
        <v>-9.675221367084863E-2</v>
      </c>
      <c r="J384" s="40">
        <v>8.7664640172349984E-2</v>
      </c>
    </row>
    <row r="385" spans="1:10" ht="11.25" customHeight="1" x14ac:dyDescent="0.2">
      <c r="A385" s="49">
        <v>44713</v>
      </c>
      <c r="B385" s="39">
        <v>0</v>
      </c>
      <c r="C385" s="39">
        <v>0</v>
      </c>
      <c r="D385" s="39">
        <v>42140.229349999994</v>
      </c>
      <c r="E385" s="39">
        <v>48531.25037617542</v>
      </c>
      <c r="F385" s="39">
        <v>14623.4627</v>
      </c>
      <c r="G385" s="39">
        <v>13208.610312241915</v>
      </c>
      <c r="H385" s="40">
        <v>0.15166080310323293</v>
      </c>
      <c r="I385" s="40">
        <v>-9.675221367084863E-2</v>
      </c>
      <c r="J385" s="40">
        <v>8.7664640172349984E-2</v>
      </c>
    </row>
    <row r="386" spans="1:10" ht="11.25" customHeight="1" x14ac:dyDescent="0.2">
      <c r="A386" s="49">
        <v>44743</v>
      </c>
      <c r="B386" s="39">
        <v>0</v>
      </c>
      <c r="C386" s="39">
        <v>0</v>
      </c>
      <c r="D386" s="39">
        <v>43388.634789999996</v>
      </c>
      <c r="E386" s="39">
        <v>49968.989987804263</v>
      </c>
      <c r="F386" s="39">
        <v>15056.68318</v>
      </c>
      <c r="G386" s="39">
        <v>13599.915751794369</v>
      </c>
      <c r="H386" s="40">
        <v>0.15166080310323271</v>
      </c>
      <c r="I386" s="40">
        <v>-9.6752213670848519E-2</v>
      </c>
      <c r="J386" s="40">
        <v>8.7664640172349984E-2</v>
      </c>
    </row>
    <row r="387" spans="1:10" ht="11.25" customHeight="1" x14ac:dyDescent="0.2">
      <c r="A387" s="49">
        <v>44774</v>
      </c>
      <c r="B387" s="39">
        <v>0</v>
      </c>
      <c r="C387" s="39">
        <v>0</v>
      </c>
      <c r="D387" s="39">
        <v>43765.408159999992</v>
      </c>
      <c r="E387" s="39">
        <v>50402.905109686377</v>
      </c>
      <c r="F387" s="39">
        <v>15187.430719999998</v>
      </c>
      <c r="G387" s="39">
        <v>13718.013177867351</v>
      </c>
      <c r="H387" s="40">
        <v>0.15166080310323293</v>
      </c>
      <c r="I387" s="40">
        <v>-9.6752213670848408E-2</v>
      </c>
      <c r="J387" s="40">
        <v>8.7664640172350206E-2</v>
      </c>
    </row>
    <row r="388" spans="1:10" ht="11.25" customHeight="1" x14ac:dyDescent="0.2">
      <c r="A388" s="45" t="s">
        <v>46</v>
      </c>
      <c r="B388" s="39">
        <v>0</v>
      </c>
      <c r="C388" s="39">
        <v>0</v>
      </c>
      <c r="D388" s="39">
        <v>415.03492</v>
      </c>
      <c r="E388" s="39">
        <v>477.96727936929034</v>
      </c>
      <c r="F388" s="39">
        <v>144.02136000000002</v>
      </c>
      <c r="G388" s="39">
        <v>130.08697460411378</v>
      </c>
      <c r="H388" s="40">
        <v>0.1516314804770893</v>
      </c>
      <c r="I388" s="40">
        <v>-9.6752213670848852E-2</v>
      </c>
      <c r="J388" s="40">
        <v>8.7644081152981723E-2</v>
      </c>
    </row>
    <row r="389" spans="1:10" ht="11.25" customHeight="1" x14ac:dyDescent="0.2">
      <c r="A389" s="46" t="s">
        <v>25</v>
      </c>
      <c r="B389" s="39">
        <v>0</v>
      </c>
      <c r="C389" s="39">
        <v>0</v>
      </c>
      <c r="D389" s="39">
        <v>415.03492</v>
      </c>
      <c r="E389" s="39">
        <v>477.96727936929034</v>
      </c>
      <c r="F389" s="39">
        <v>144.02136000000002</v>
      </c>
      <c r="G389" s="39">
        <v>130.08697460411378</v>
      </c>
      <c r="H389" s="40">
        <v>0.1516314804770893</v>
      </c>
      <c r="I389" s="40">
        <v>-9.6752213670848852E-2</v>
      </c>
      <c r="J389" s="40">
        <v>8.7644081152981723E-2</v>
      </c>
    </row>
    <row r="390" spans="1:10" ht="11.25" customHeight="1" x14ac:dyDescent="0.2">
      <c r="A390" s="47" t="s">
        <v>25</v>
      </c>
      <c r="B390" s="39">
        <v>0</v>
      </c>
      <c r="C390" s="39">
        <v>0</v>
      </c>
      <c r="D390" s="39">
        <v>415.03492</v>
      </c>
      <c r="E390" s="39">
        <v>477.96727936929034</v>
      </c>
      <c r="F390" s="39">
        <v>144.02136000000002</v>
      </c>
      <c r="G390" s="39">
        <v>130.08697460411378</v>
      </c>
      <c r="H390" s="40">
        <v>0.1516314804770893</v>
      </c>
      <c r="I390" s="40">
        <v>-9.6752213670848852E-2</v>
      </c>
      <c r="J390" s="40">
        <v>8.7644081152981723E-2</v>
      </c>
    </row>
    <row r="391" spans="1:10" ht="11.25" customHeight="1" x14ac:dyDescent="0.2">
      <c r="A391" s="48" t="s">
        <v>25</v>
      </c>
      <c r="B391" s="39">
        <v>0</v>
      </c>
      <c r="C391" s="39">
        <v>0</v>
      </c>
      <c r="D391" s="39">
        <v>415.03492</v>
      </c>
      <c r="E391" s="39">
        <v>477.96727936929034</v>
      </c>
      <c r="F391" s="39">
        <v>144.02136000000002</v>
      </c>
      <c r="G391" s="39">
        <v>130.08697460411378</v>
      </c>
      <c r="H391" s="40">
        <v>0.1516314804770893</v>
      </c>
      <c r="I391" s="40">
        <v>-9.6752213670848852E-2</v>
      </c>
      <c r="J391" s="40">
        <v>8.7644081152981723E-2</v>
      </c>
    </row>
    <row r="392" spans="1:10" ht="11.25" customHeight="1" x14ac:dyDescent="0.2">
      <c r="A392" s="49">
        <v>44440</v>
      </c>
      <c r="B392" s="39">
        <v>0</v>
      </c>
      <c r="C392" s="39">
        <v>0</v>
      </c>
      <c r="D392" s="39">
        <v>415.03492</v>
      </c>
      <c r="E392" s="39">
        <v>477.96727936929034</v>
      </c>
      <c r="F392" s="39">
        <v>144.02136000000002</v>
      </c>
      <c r="G392" s="39">
        <v>130.08697460411378</v>
      </c>
      <c r="H392" s="40">
        <v>0.1516314804770893</v>
      </c>
      <c r="I392" s="40">
        <v>-9.6752213670848852E-2</v>
      </c>
      <c r="J392" s="40">
        <v>8.7644081152981723E-2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B518-2E0C-495C-A360-B08AFBD91F45}">
  <dimension ref="A1:G215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39" bestFit="1" customWidth="1"/>
    <col min="3" max="3" width="21.85546875" style="39" bestFit="1" customWidth="1"/>
    <col min="4" max="4" width="20.28515625" style="39" bestFit="1" customWidth="1"/>
    <col min="5" max="5" width="21.7109375" style="39" bestFit="1" customWidth="1"/>
    <col min="6" max="6" width="14.85546875" style="39" bestFit="1" customWidth="1"/>
    <col min="7" max="7" width="14.7109375" style="39" bestFit="1" customWidth="1"/>
    <col min="8" max="16384" width="9.140625" style="14"/>
  </cols>
  <sheetData>
    <row r="1" spans="1:7" ht="11.25" customHeight="1" x14ac:dyDescent="0.2">
      <c r="A1" s="38" t="s">
        <v>534</v>
      </c>
      <c r="B1" s="39" t="s">
        <v>560</v>
      </c>
      <c r="C1" s="39" t="s">
        <v>561</v>
      </c>
      <c r="D1" s="39" t="s">
        <v>562</v>
      </c>
      <c r="E1" s="39" t="s">
        <v>563</v>
      </c>
      <c r="F1" s="39" t="s">
        <v>564</v>
      </c>
      <c r="G1" s="39" t="s">
        <v>565</v>
      </c>
    </row>
    <row r="2" spans="1:7" ht="11.25" customHeight="1" x14ac:dyDescent="0.2">
      <c r="A2" s="41" t="s">
        <v>549</v>
      </c>
      <c r="B2" s="39">
        <v>3189.78</v>
      </c>
      <c r="C2" s="39">
        <v>7276.0219326000042</v>
      </c>
      <c r="D2" s="39">
        <v>3518.4045122281204</v>
      </c>
      <c r="E2" s="39">
        <v>7886.4137034546675</v>
      </c>
      <c r="F2" s="39">
        <v>10465.801932600005</v>
      </c>
      <c r="G2" s="39">
        <v>11404.818215682788</v>
      </c>
    </row>
    <row r="3" spans="1:7" ht="11.25" customHeight="1" x14ac:dyDescent="0.2">
      <c r="A3" s="42" t="s">
        <v>35</v>
      </c>
      <c r="B3" s="39">
        <v>3189.78</v>
      </c>
      <c r="C3" s="39">
        <v>3497.6975688000011</v>
      </c>
      <c r="D3" s="39">
        <v>3518.4045122281204</v>
      </c>
      <c r="E3" s="39">
        <v>3776.9629336037142</v>
      </c>
      <c r="F3" s="39">
        <v>6687.4775688000009</v>
      </c>
      <c r="G3" s="39">
        <v>7295.3674458318346</v>
      </c>
    </row>
    <row r="4" spans="1:7" ht="11.25" customHeight="1" x14ac:dyDescent="0.2">
      <c r="A4" s="43" t="s">
        <v>36</v>
      </c>
      <c r="B4" s="39">
        <v>3189.78</v>
      </c>
      <c r="C4" s="39">
        <v>3497.6975688000011</v>
      </c>
      <c r="D4" s="39">
        <v>3518.4045122281204</v>
      </c>
      <c r="E4" s="39">
        <v>3776.9629336037142</v>
      </c>
      <c r="F4" s="39">
        <v>6687.4775688000009</v>
      </c>
      <c r="G4" s="39">
        <v>7295.3674458318346</v>
      </c>
    </row>
    <row r="5" spans="1:7" ht="11.25" customHeight="1" x14ac:dyDescent="0.2">
      <c r="A5" s="44" t="s">
        <v>47</v>
      </c>
      <c r="B5" s="39">
        <v>3189.78</v>
      </c>
      <c r="C5" s="39">
        <v>3497.6975688000011</v>
      </c>
      <c r="D5" s="39">
        <v>3518.4045122281204</v>
      </c>
      <c r="E5" s="39">
        <v>3776.9629336037142</v>
      </c>
      <c r="F5" s="39">
        <v>6687.4775688000009</v>
      </c>
      <c r="G5" s="39">
        <v>7295.3674458318346</v>
      </c>
    </row>
    <row r="6" spans="1:7" ht="11.25" customHeight="1" x14ac:dyDescent="0.2">
      <c r="A6" s="45" t="s">
        <v>48</v>
      </c>
      <c r="B6" s="39">
        <v>3189.78</v>
      </c>
      <c r="C6" s="39">
        <v>3497.6975688000011</v>
      </c>
      <c r="D6" s="39">
        <v>3518.4045122281204</v>
      </c>
      <c r="E6" s="39">
        <v>3776.9629336037142</v>
      </c>
      <c r="F6" s="39">
        <v>6687.4775688000009</v>
      </c>
      <c r="G6" s="39">
        <v>7295.3674458318346</v>
      </c>
    </row>
    <row r="7" spans="1:7" ht="11.25" customHeight="1" x14ac:dyDescent="0.2">
      <c r="A7" s="46" t="s">
        <v>25</v>
      </c>
      <c r="B7" s="39">
        <v>3189.78</v>
      </c>
      <c r="C7" s="39">
        <v>3497.6975688000011</v>
      </c>
      <c r="D7" s="39">
        <v>3518.4045122281204</v>
      </c>
      <c r="E7" s="39">
        <v>3776.9629336037142</v>
      </c>
      <c r="F7" s="39">
        <v>6687.4775688000009</v>
      </c>
      <c r="G7" s="39">
        <v>7295.3674458318346</v>
      </c>
    </row>
    <row r="8" spans="1:7" ht="11.25" customHeight="1" x14ac:dyDescent="0.2">
      <c r="A8" s="47" t="s">
        <v>25</v>
      </c>
      <c r="B8" s="39">
        <v>3189.78</v>
      </c>
      <c r="C8" s="39">
        <v>3497.6975688000011</v>
      </c>
      <c r="D8" s="39">
        <v>3518.4045122281204</v>
      </c>
      <c r="E8" s="39">
        <v>3776.9629336037142</v>
      </c>
      <c r="F8" s="39">
        <v>6687.4775688000009</v>
      </c>
      <c r="G8" s="39">
        <v>7295.3674458318346</v>
      </c>
    </row>
    <row r="9" spans="1:7" ht="11.25" customHeight="1" x14ac:dyDescent="0.2">
      <c r="A9" s="48" t="s">
        <v>38</v>
      </c>
      <c r="B9" s="39">
        <v>0</v>
      </c>
      <c r="C9" s="39">
        <v>1544.6476284000005</v>
      </c>
      <c r="D9" s="39">
        <v>0</v>
      </c>
      <c r="E9" s="39">
        <v>1636.1335882638593</v>
      </c>
      <c r="F9" s="39">
        <v>1544.6476284000005</v>
      </c>
      <c r="G9" s="39">
        <v>1636.1335882638593</v>
      </c>
    </row>
    <row r="10" spans="1:7" ht="11.25" customHeight="1" x14ac:dyDescent="0.2">
      <c r="A10" s="49">
        <v>44440</v>
      </c>
      <c r="B10" s="39">
        <v>0</v>
      </c>
      <c r="C10" s="39">
        <v>119.08328640000005</v>
      </c>
      <c r="D10" s="39">
        <v>0</v>
      </c>
      <c r="E10" s="39">
        <v>126.13631814636125</v>
      </c>
      <c r="F10" s="39">
        <v>119.08328640000005</v>
      </c>
      <c r="G10" s="39">
        <v>126.13631814636125</v>
      </c>
    </row>
    <row r="11" spans="1:7" ht="11.25" customHeight="1" x14ac:dyDescent="0.2">
      <c r="A11" s="49">
        <v>44470</v>
      </c>
      <c r="B11" s="39">
        <v>0</v>
      </c>
      <c r="C11" s="39">
        <v>135.68624460000029</v>
      </c>
      <c r="D11" s="39">
        <v>0</v>
      </c>
      <c r="E11" s="39">
        <v>143.72263173407535</v>
      </c>
      <c r="F11" s="39">
        <v>135.68624460000029</v>
      </c>
      <c r="G11" s="39">
        <v>143.72263173407535</v>
      </c>
    </row>
    <row r="12" spans="1:7" ht="11.25" customHeight="1" x14ac:dyDescent="0.2">
      <c r="A12" s="49">
        <v>44501</v>
      </c>
      <c r="B12" s="39">
        <v>0</v>
      </c>
      <c r="C12" s="39">
        <v>150.57165540000022</v>
      </c>
      <c r="D12" s="39">
        <v>0</v>
      </c>
      <c r="E12" s="39">
        <v>159.48967150237044</v>
      </c>
      <c r="F12" s="39">
        <v>150.57165540000022</v>
      </c>
      <c r="G12" s="39">
        <v>159.48967150237044</v>
      </c>
    </row>
    <row r="13" spans="1:7" ht="11.25" customHeight="1" x14ac:dyDescent="0.2">
      <c r="A13" s="49">
        <v>44531</v>
      </c>
      <c r="B13" s="39">
        <v>0</v>
      </c>
      <c r="C13" s="39">
        <v>130.53360240000023</v>
      </c>
      <c r="D13" s="39">
        <v>0</v>
      </c>
      <c r="E13" s="39">
        <v>138.26481027581926</v>
      </c>
      <c r="F13" s="39">
        <v>130.53360240000023</v>
      </c>
      <c r="G13" s="39">
        <v>138.26481027581926</v>
      </c>
    </row>
    <row r="14" spans="1:7" ht="11.25" customHeight="1" x14ac:dyDescent="0.2">
      <c r="A14" s="49">
        <v>44562</v>
      </c>
      <c r="B14" s="39">
        <v>0</v>
      </c>
      <c r="C14" s="39">
        <v>139.12133940000004</v>
      </c>
      <c r="D14" s="39">
        <v>0</v>
      </c>
      <c r="E14" s="39">
        <v>147.36117937291243</v>
      </c>
      <c r="F14" s="39">
        <v>139.12133940000004</v>
      </c>
      <c r="G14" s="39">
        <v>147.36117937291243</v>
      </c>
    </row>
    <row r="15" spans="1:7" ht="11.25" customHeight="1" x14ac:dyDescent="0.2">
      <c r="A15" s="49">
        <v>44593</v>
      </c>
      <c r="B15" s="39">
        <v>0</v>
      </c>
      <c r="C15" s="39">
        <v>128.81605499999992</v>
      </c>
      <c r="D15" s="39">
        <v>0</v>
      </c>
      <c r="E15" s="39">
        <v>136.44553645640028</v>
      </c>
      <c r="F15" s="39">
        <v>128.81605499999992</v>
      </c>
      <c r="G15" s="39">
        <v>136.44553645640028</v>
      </c>
    </row>
    <row r="16" spans="1:7" ht="11.25" customHeight="1" x14ac:dyDescent="0.2">
      <c r="A16" s="49">
        <v>44621</v>
      </c>
      <c r="B16" s="39">
        <v>0</v>
      </c>
      <c r="C16" s="39">
        <v>131.10611820000003</v>
      </c>
      <c r="D16" s="39">
        <v>0</v>
      </c>
      <c r="E16" s="39">
        <v>138.87123488229196</v>
      </c>
      <c r="F16" s="39">
        <v>131.10611820000003</v>
      </c>
      <c r="G16" s="39">
        <v>138.87123488229196</v>
      </c>
    </row>
    <row r="17" spans="1:7" ht="11.25" customHeight="1" x14ac:dyDescent="0.2">
      <c r="A17" s="49">
        <v>44652</v>
      </c>
      <c r="B17" s="39">
        <v>0</v>
      </c>
      <c r="C17" s="39">
        <v>117.36573899999993</v>
      </c>
      <c r="D17" s="39">
        <v>0</v>
      </c>
      <c r="E17" s="39">
        <v>124.31704432694249</v>
      </c>
      <c r="F17" s="39">
        <v>117.36573899999993</v>
      </c>
      <c r="G17" s="39">
        <v>124.31704432694249</v>
      </c>
    </row>
    <row r="18" spans="1:7" ht="11.25" customHeight="1" x14ac:dyDescent="0.2">
      <c r="A18" s="49">
        <v>44682</v>
      </c>
      <c r="B18" s="39">
        <v>0</v>
      </c>
      <c r="C18" s="39">
        <v>112.21309679999987</v>
      </c>
      <c r="D18" s="39">
        <v>0</v>
      </c>
      <c r="E18" s="39">
        <v>118.8592228686864</v>
      </c>
      <c r="F18" s="39">
        <v>112.21309679999987</v>
      </c>
      <c r="G18" s="39">
        <v>118.8592228686864</v>
      </c>
    </row>
    <row r="19" spans="1:7" ht="11.25" customHeight="1" x14ac:dyDescent="0.2">
      <c r="A19" s="49">
        <v>44713</v>
      </c>
      <c r="B19" s="39">
        <v>0</v>
      </c>
      <c r="C19" s="39">
        <v>130.53360240000023</v>
      </c>
      <c r="D19" s="39">
        <v>0</v>
      </c>
      <c r="E19" s="39">
        <v>138.26481027581926</v>
      </c>
      <c r="F19" s="39">
        <v>130.53360240000023</v>
      </c>
      <c r="G19" s="39">
        <v>138.26481027581926</v>
      </c>
    </row>
    <row r="20" spans="1:7" ht="11.25" customHeight="1" x14ac:dyDescent="0.2">
      <c r="A20" s="49">
        <v>44743</v>
      </c>
      <c r="B20" s="39">
        <v>0</v>
      </c>
      <c r="C20" s="39">
        <v>125.95347599999998</v>
      </c>
      <c r="D20" s="39">
        <v>0</v>
      </c>
      <c r="E20" s="39">
        <v>133.41341342403589</v>
      </c>
      <c r="F20" s="39">
        <v>125.95347599999998</v>
      </c>
      <c r="G20" s="39">
        <v>133.41341342403589</v>
      </c>
    </row>
    <row r="21" spans="1:7" ht="11.25" customHeight="1" x14ac:dyDescent="0.2">
      <c r="A21" s="49">
        <v>44774</v>
      </c>
      <c r="B21" s="39">
        <v>0</v>
      </c>
      <c r="C21" s="39">
        <v>123.66341279999986</v>
      </c>
      <c r="D21" s="39">
        <v>0</v>
      </c>
      <c r="E21" s="39">
        <v>130.98771499814418</v>
      </c>
      <c r="F21" s="39">
        <v>123.66341279999986</v>
      </c>
      <c r="G21" s="39">
        <v>130.98771499814418</v>
      </c>
    </row>
    <row r="22" spans="1:7" ht="11.25" customHeight="1" x14ac:dyDescent="0.2">
      <c r="A22" s="48" t="s">
        <v>25</v>
      </c>
      <c r="B22" s="39">
        <v>3189.78</v>
      </c>
      <c r="C22" s="39">
        <v>0</v>
      </c>
      <c r="D22" s="39">
        <v>3518.4045122281204</v>
      </c>
      <c r="E22" s="39">
        <v>0</v>
      </c>
      <c r="F22" s="39">
        <v>3189.78</v>
      </c>
      <c r="G22" s="39">
        <v>3518.4045122281204</v>
      </c>
    </row>
    <row r="23" spans="1:7" ht="11.25" customHeight="1" x14ac:dyDescent="0.2">
      <c r="A23" s="49">
        <v>44440</v>
      </c>
      <c r="B23" s="39">
        <v>265.815</v>
      </c>
      <c r="C23" s="39">
        <v>0</v>
      </c>
      <c r="D23" s="39">
        <v>293.20037601901004</v>
      </c>
      <c r="E23" s="39">
        <v>0</v>
      </c>
      <c r="F23" s="39">
        <v>265.815</v>
      </c>
      <c r="G23" s="39">
        <v>293.20037601901004</v>
      </c>
    </row>
    <row r="24" spans="1:7" ht="11.25" customHeight="1" x14ac:dyDescent="0.2">
      <c r="A24" s="49">
        <v>44470</v>
      </c>
      <c r="B24" s="39">
        <v>265.815</v>
      </c>
      <c r="C24" s="39">
        <v>0</v>
      </c>
      <c r="D24" s="39">
        <v>293.20037601901004</v>
      </c>
      <c r="E24" s="39">
        <v>0</v>
      </c>
      <c r="F24" s="39">
        <v>265.815</v>
      </c>
      <c r="G24" s="39">
        <v>293.20037601901004</v>
      </c>
    </row>
    <row r="25" spans="1:7" ht="11.25" customHeight="1" x14ac:dyDescent="0.2">
      <c r="A25" s="49">
        <v>44501</v>
      </c>
      <c r="B25" s="39">
        <v>265.815</v>
      </c>
      <c r="C25" s="39">
        <v>0</v>
      </c>
      <c r="D25" s="39">
        <v>293.20037601901004</v>
      </c>
      <c r="E25" s="39">
        <v>0</v>
      </c>
      <c r="F25" s="39">
        <v>265.815</v>
      </c>
      <c r="G25" s="39">
        <v>293.20037601901004</v>
      </c>
    </row>
    <row r="26" spans="1:7" ht="11.25" customHeight="1" x14ac:dyDescent="0.2">
      <c r="A26" s="49">
        <v>44531</v>
      </c>
      <c r="B26" s="39">
        <v>265.815</v>
      </c>
      <c r="C26" s="39">
        <v>0</v>
      </c>
      <c r="D26" s="39">
        <v>293.20037601901004</v>
      </c>
      <c r="E26" s="39">
        <v>0</v>
      </c>
      <c r="F26" s="39">
        <v>265.815</v>
      </c>
      <c r="G26" s="39">
        <v>293.20037601901004</v>
      </c>
    </row>
    <row r="27" spans="1:7" ht="11.25" customHeight="1" x14ac:dyDescent="0.2">
      <c r="A27" s="49">
        <v>44562</v>
      </c>
      <c r="B27" s="39">
        <v>265.815</v>
      </c>
      <c r="C27" s="39">
        <v>0</v>
      </c>
      <c r="D27" s="39">
        <v>293.20037601901004</v>
      </c>
      <c r="E27" s="39">
        <v>0</v>
      </c>
      <c r="F27" s="39">
        <v>265.815</v>
      </c>
      <c r="G27" s="39">
        <v>293.20037601901004</v>
      </c>
    </row>
    <row r="28" spans="1:7" ht="11.25" customHeight="1" x14ac:dyDescent="0.2">
      <c r="A28" s="49">
        <v>44593</v>
      </c>
      <c r="B28" s="39">
        <v>265.815</v>
      </c>
      <c r="C28" s="39">
        <v>0</v>
      </c>
      <c r="D28" s="39">
        <v>293.20037601901004</v>
      </c>
      <c r="E28" s="39">
        <v>0</v>
      </c>
      <c r="F28" s="39">
        <v>265.815</v>
      </c>
      <c r="G28" s="39">
        <v>293.20037601901004</v>
      </c>
    </row>
    <row r="29" spans="1:7" ht="11.25" customHeight="1" x14ac:dyDescent="0.2">
      <c r="A29" s="49">
        <v>44621</v>
      </c>
      <c r="B29" s="39">
        <v>265.815</v>
      </c>
      <c r="C29" s="39">
        <v>0</v>
      </c>
      <c r="D29" s="39">
        <v>293.20037601901004</v>
      </c>
      <c r="E29" s="39">
        <v>0</v>
      </c>
      <c r="F29" s="39">
        <v>265.815</v>
      </c>
      <c r="G29" s="39">
        <v>293.20037601901004</v>
      </c>
    </row>
    <row r="30" spans="1:7" ht="11.25" customHeight="1" x14ac:dyDescent="0.2">
      <c r="A30" s="49">
        <v>44652</v>
      </c>
      <c r="B30" s="39">
        <v>265.815</v>
      </c>
      <c r="C30" s="39">
        <v>0</v>
      </c>
      <c r="D30" s="39">
        <v>293.20037601901004</v>
      </c>
      <c r="E30" s="39">
        <v>0</v>
      </c>
      <c r="F30" s="39">
        <v>265.815</v>
      </c>
      <c r="G30" s="39">
        <v>293.20037601901004</v>
      </c>
    </row>
    <row r="31" spans="1:7" ht="11.25" customHeight="1" x14ac:dyDescent="0.2">
      <c r="A31" s="49">
        <v>44682</v>
      </c>
      <c r="B31" s="39">
        <v>265.815</v>
      </c>
      <c r="C31" s="39">
        <v>0</v>
      </c>
      <c r="D31" s="39">
        <v>293.20037601901004</v>
      </c>
      <c r="E31" s="39">
        <v>0</v>
      </c>
      <c r="F31" s="39">
        <v>265.815</v>
      </c>
      <c r="G31" s="39">
        <v>293.20037601901004</v>
      </c>
    </row>
    <row r="32" spans="1:7" ht="11.25" customHeight="1" x14ac:dyDescent="0.2">
      <c r="A32" s="49">
        <v>44713</v>
      </c>
      <c r="B32" s="39">
        <v>265.815</v>
      </c>
      <c r="C32" s="39">
        <v>0</v>
      </c>
      <c r="D32" s="39">
        <v>293.20037601901004</v>
      </c>
      <c r="E32" s="39">
        <v>0</v>
      </c>
      <c r="F32" s="39">
        <v>265.815</v>
      </c>
      <c r="G32" s="39">
        <v>293.20037601901004</v>
      </c>
    </row>
    <row r="33" spans="1:7" ht="11.25" customHeight="1" x14ac:dyDescent="0.2">
      <c r="A33" s="49">
        <v>44743</v>
      </c>
      <c r="B33" s="39">
        <v>265.815</v>
      </c>
      <c r="C33" s="39">
        <v>0</v>
      </c>
      <c r="D33" s="39">
        <v>293.20037601901004</v>
      </c>
      <c r="E33" s="39">
        <v>0</v>
      </c>
      <c r="F33" s="39">
        <v>265.815</v>
      </c>
      <c r="G33" s="39">
        <v>293.20037601901004</v>
      </c>
    </row>
    <row r="34" spans="1:7" ht="11.25" customHeight="1" x14ac:dyDescent="0.2">
      <c r="A34" s="49">
        <v>44774</v>
      </c>
      <c r="B34" s="39">
        <v>265.815</v>
      </c>
      <c r="C34" s="39">
        <v>0</v>
      </c>
      <c r="D34" s="39">
        <v>293.20037601901004</v>
      </c>
      <c r="E34" s="39">
        <v>0</v>
      </c>
      <c r="F34" s="39">
        <v>265.815</v>
      </c>
      <c r="G34" s="39">
        <v>293.20037601901004</v>
      </c>
    </row>
    <row r="35" spans="1:7" ht="11.25" customHeight="1" x14ac:dyDescent="0.2">
      <c r="A35" s="48" t="s">
        <v>37</v>
      </c>
      <c r="B35" s="39">
        <v>0</v>
      </c>
      <c r="C35" s="39">
        <v>1953.0499404000011</v>
      </c>
      <c r="D35" s="39">
        <v>0</v>
      </c>
      <c r="E35" s="39">
        <v>2140.8293453398551</v>
      </c>
      <c r="F35" s="39">
        <v>1953.0499404000011</v>
      </c>
      <c r="G35" s="39">
        <v>2140.8293453398551</v>
      </c>
    </row>
    <row r="36" spans="1:7" ht="11.25" customHeight="1" x14ac:dyDescent="0.2">
      <c r="A36" s="49">
        <v>44440</v>
      </c>
      <c r="B36" s="39">
        <v>0</v>
      </c>
      <c r="C36" s="39">
        <v>150.23461080000018</v>
      </c>
      <c r="D36" s="39">
        <v>0</v>
      </c>
      <c r="E36" s="39">
        <v>164.67918041075825</v>
      </c>
      <c r="F36" s="39">
        <v>150.23461080000018</v>
      </c>
      <c r="G36" s="39">
        <v>164.67918041075825</v>
      </c>
    </row>
    <row r="37" spans="1:7" ht="11.25" customHeight="1" x14ac:dyDescent="0.2">
      <c r="A37" s="49">
        <v>44470</v>
      </c>
      <c r="B37" s="39">
        <v>0</v>
      </c>
      <c r="C37" s="39">
        <v>169.83042960000006</v>
      </c>
      <c r="D37" s="39">
        <v>0</v>
      </c>
      <c r="E37" s="39">
        <v>186.1590735078135</v>
      </c>
      <c r="F37" s="39">
        <v>169.83042960000006</v>
      </c>
      <c r="G37" s="39">
        <v>186.1590735078135</v>
      </c>
    </row>
    <row r="38" spans="1:7" ht="11.25" customHeight="1" x14ac:dyDescent="0.2">
      <c r="A38" s="49">
        <v>44501</v>
      </c>
      <c r="B38" s="39">
        <v>0</v>
      </c>
      <c r="C38" s="39">
        <v>182.89430880000015</v>
      </c>
      <c r="D38" s="39">
        <v>0</v>
      </c>
      <c r="E38" s="39">
        <v>200.47900223918384</v>
      </c>
      <c r="F38" s="39">
        <v>182.89430880000015</v>
      </c>
      <c r="G38" s="39">
        <v>200.47900223918384</v>
      </c>
    </row>
    <row r="39" spans="1:7" ht="11.25" customHeight="1" x14ac:dyDescent="0.2">
      <c r="A39" s="49">
        <v>44531</v>
      </c>
      <c r="B39" s="39">
        <v>0</v>
      </c>
      <c r="C39" s="39">
        <v>176.36236920000042</v>
      </c>
      <c r="D39" s="39">
        <v>0</v>
      </c>
      <c r="E39" s="39">
        <v>193.31903787349898</v>
      </c>
      <c r="F39" s="39">
        <v>176.36236920000042</v>
      </c>
      <c r="G39" s="39">
        <v>193.31903787349898</v>
      </c>
    </row>
    <row r="40" spans="1:7" ht="11.25" customHeight="1" x14ac:dyDescent="0.2">
      <c r="A40" s="49">
        <v>44562</v>
      </c>
      <c r="B40" s="39">
        <v>0</v>
      </c>
      <c r="C40" s="39">
        <v>176.36236920000042</v>
      </c>
      <c r="D40" s="39">
        <v>0</v>
      </c>
      <c r="E40" s="39">
        <v>193.31903787349898</v>
      </c>
      <c r="F40" s="39">
        <v>176.36236920000042</v>
      </c>
      <c r="G40" s="39">
        <v>193.31903787349898</v>
      </c>
    </row>
    <row r="41" spans="1:7" ht="11.25" customHeight="1" x14ac:dyDescent="0.2">
      <c r="A41" s="49">
        <v>44593</v>
      </c>
      <c r="B41" s="39">
        <v>0</v>
      </c>
      <c r="C41" s="39">
        <v>163.2984899999997</v>
      </c>
      <c r="D41" s="39">
        <v>0</v>
      </c>
      <c r="E41" s="39">
        <v>178.99910914212799</v>
      </c>
      <c r="F41" s="39">
        <v>163.2984899999997</v>
      </c>
      <c r="G41" s="39">
        <v>178.99910914212799</v>
      </c>
    </row>
    <row r="42" spans="1:7" ht="11.25" customHeight="1" x14ac:dyDescent="0.2">
      <c r="A42" s="49">
        <v>44621</v>
      </c>
      <c r="B42" s="39">
        <v>0</v>
      </c>
      <c r="C42" s="39">
        <v>176.36236919999982</v>
      </c>
      <c r="D42" s="39">
        <v>0</v>
      </c>
      <c r="E42" s="39">
        <v>193.31903787349836</v>
      </c>
      <c r="F42" s="39">
        <v>176.36236919999982</v>
      </c>
      <c r="G42" s="39">
        <v>193.31903787349836</v>
      </c>
    </row>
    <row r="43" spans="1:7" ht="11.25" customHeight="1" x14ac:dyDescent="0.2">
      <c r="A43" s="49">
        <v>44652</v>
      </c>
      <c r="B43" s="39">
        <v>0</v>
      </c>
      <c r="C43" s="39">
        <v>150.23461079999993</v>
      </c>
      <c r="D43" s="39">
        <v>0</v>
      </c>
      <c r="E43" s="39">
        <v>164.67918041075794</v>
      </c>
      <c r="F43" s="39">
        <v>150.23461079999993</v>
      </c>
      <c r="G43" s="39">
        <v>164.67918041075794</v>
      </c>
    </row>
    <row r="44" spans="1:7" ht="11.25" customHeight="1" x14ac:dyDescent="0.2">
      <c r="A44" s="49">
        <v>44682</v>
      </c>
      <c r="B44" s="39">
        <v>0</v>
      </c>
      <c r="C44" s="39">
        <v>143.70267120000014</v>
      </c>
      <c r="D44" s="39">
        <v>0</v>
      </c>
      <c r="E44" s="39">
        <v>157.51921604507308</v>
      </c>
      <c r="F44" s="39">
        <v>143.70267120000014</v>
      </c>
      <c r="G44" s="39">
        <v>157.51921604507308</v>
      </c>
    </row>
    <row r="45" spans="1:7" ht="11.25" customHeight="1" x14ac:dyDescent="0.2">
      <c r="A45" s="49">
        <v>44713</v>
      </c>
      <c r="B45" s="39">
        <v>0</v>
      </c>
      <c r="C45" s="39">
        <v>143.70267120000014</v>
      </c>
      <c r="D45" s="39">
        <v>0</v>
      </c>
      <c r="E45" s="39">
        <v>157.51921604507308</v>
      </c>
      <c r="F45" s="39">
        <v>143.70267120000014</v>
      </c>
      <c r="G45" s="39">
        <v>157.51921604507308</v>
      </c>
    </row>
    <row r="46" spans="1:7" ht="11.25" customHeight="1" x14ac:dyDescent="0.2">
      <c r="A46" s="49">
        <v>44743</v>
      </c>
      <c r="B46" s="39">
        <v>0</v>
      </c>
      <c r="C46" s="39">
        <v>169.83042960000006</v>
      </c>
      <c r="D46" s="39">
        <v>0</v>
      </c>
      <c r="E46" s="39">
        <v>186.1590735078135</v>
      </c>
      <c r="F46" s="39">
        <v>169.83042960000006</v>
      </c>
      <c r="G46" s="39">
        <v>186.1590735078135</v>
      </c>
    </row>
    <row r="47" spans="1:7" ht="11.25" customHeight="1" x14ac:dyDescent="0.2">
      <c r="A47" s="49">
        <v>44774</v>
      </c>
      <c r="B47" s="39">
        <v>0</v>
      </c>
      <c r="C47" s="39">
        <v>150.23461079999993</v>
      </c>
      <c r="D47" s="39">
        <v>0</v>
      </c>
      <c r="E47" s="39">
        <v>164.67918041075794</v>
      </c>
      <c r="F47" s="39">
        <v>150.23461079999993</v>
      </c>
      <c r="G47" s="39">
        <v>164.67918041075794</v>
      </c>
    </row>
    <row r="48" spans="1:7" ht="11.25" customHeight="1" x14ac:dyDescent="0.2">
      <c r="A48" s="42" t="s">
        <v>33</v>
      </c>
      <c r="B48" s="39">
        <v>0</v>
      </c>
      <c r="C48" s="39">
        <v>3778.3243638000022</v>
      </c>
      <c r="D48" s="39">
        <v>0</v>
      </c>
      <c r="E48" s="39">
        <v>4109.4507698509515</v>
      </c>
      <c r="F48" s="39">
        <v>3778.3243638000022</v>
      </c>
      <c r="G48" s="39">
        <v>4109.4507698509515</v>
      </c>
    </row>
    <row r="49" spans="1:7" ht="11.25" customHeight="1" x14ac:dyDescent="0.2">
      <c r="A49" s="43" t="s">
        <v>23</v>
      </c>
      <c r="B49" s="39">
        <v>0</v>
      </c>
      <c r="C49" s="39">
        <v>3778.3243638000022</v>
      </c>
      <c r="D49" s="39">
        <v>0</v>
      </c>
      <c r="E49" s="39">
        <v>4109.4507698509515</v>
      </c>
      <c r="F49" s="39">
        <v>3778.3243638000022</v>
      </c>
      <c r="G49" s="39">
        <v>4109.4507698509515</v>
      </c>
    </row>
    <row r="50" spans="1:7" ht="11.25" customHeight="1" x14ac:dyDescent="0.2">
      <c r="A50" s="44" t="s">
        <v>47</v>
      </c>
      <c r="B50" s="39">
        <v>0</v>
      </c>
      <c r="C50" s="39">
        <v>3778.3243638000022</v>
      </c>
      <c r="D50" s="39">
        <v>0</v>
      </c>
      <c r="E50" s="39">
        <v>4109.4507698509515</v>
      </c>
      <c r="F50" s="39">
        <v>3778.3243638000022</v>
      </c>
      <c r="G50" s="39">
        <v>4109.4507698509515</v>
      </c>
    </row>
    <row r="51" spans="1:7" ht="11.25" customHeight="1" x14ac:dyDescent="0.2">
      <c r="A51" s="45" t="s">
        <v>48</v>
      </c>
      <c r="B51" s="39">
        <v>0</v>
      </c>
      <c r="C51" s="39">
        <v>3778.3243638000022</v>
      </c>
      <c r="D51" s="39">
        <v>0</v>
      </c>
      <c r="E51" s="39">
        <v>4109.4507698509515</v>
      </c>
      <c r="F51" s="39">
        <v>3778.3243638000022</v>
      </c>
      <c r="G51" s="39">
        <v>4109.4507698509515</v>
      </c>
    </row>
    <row r="52" spans="1:7" ht="11.25" customHeight="1" x14ac:dyDescent="0.2">
      <c r="A52" s="46" t="s">
        <v>25</v>
      </c>
      <c r="B52" s="39">
        <v>0</v>
      </c>
      <c r="C52" s="39">
        <v>3778.3243638000022</v>
      </c>
      <c r="D52" s="39">
        <v>0</v>
      </c>
      <c r="E52" s="39">
        <v>4109.4507698509515</v>
      </c>
      <c r="F52" s="39">
        <v>3778.3243638000022</v>
      </c>
      <c r="G52" s="39">
        <v>4109.4507698509515</v>
      </c>
    </row>
    <row r="53" spans="1:7" ht="11.25" customHeight="1" x14ac:dyDescent="0.2">
      <c r="A53" s="47" t="s">
        <v>25</v>
      </c>
      <c r="B53" s="39">
        <v>0</v>
      </c>
      <c r="C53" s="39">
        <v>3778.3243638000022</v>
      </c>
      <c r="D53" s="39">
        <v>0</v>
      </c>
      <c r="E53" s="39">
        <v>4109.4507698509515</v>
      </c>
      <c r="F53" s="39">
        <v>3778.3243638000022</v>
      </c>
      <c r="G53" s="39">
        <v>4109.4507698509515</v>
      </c>
    </row>
    <row r="54" spans="1:7" ht="11.25" customHeight="1" x14ac:dyDescent="0.2">
      <c r="A54" s="48" t="s">
        <v>25</v>
      </c>
      <c r="B54" s="39">
        <v>0</v>
      </c>
      <c r="C54" s="39">
        <v>3778.3243638000022</v>
      </c>
      <c r="D54" s="39">
        <v>0</v>
      </c>
      <c r="E54" s="39">
        <v>4109.4507698509515</v>
      </c>
      <c r="F54" s="39">
        <v>3778.3243638000022</v>
      </c>
      <c r="G54" s="39">
        <v>4109.4507698509515</v>
      </c>
    </row>
    <row r="55" spans="1:7" ht="11.25" customHeight="1" x14ac:dyDescent="0.2">
      <c r="A55" s="49">
        <v>44440</v>
      </c>
      <c r="B55" s="39">
        <v>0</v>
      </c>
      <c r="C55" s="39">
        <v>293.72731080000028</v>
      </c>
      <c r="D55" s="39">
        <v>0</v>
      </c>
      <c r="E55" s="39">
        <v>319.46911044961951</v>
      </c>
      <c r="F55" s="39">
        <v>293.72731080000028</v>
      </c>
      <c r="G55" s="39">
        <v>319.46911044961951</v>
      </c>
    </row>
    <row r="56" spans="1:7" ht="11.25" customHeight="1" x14ac:dyDescent="0.2">
      <c r="A56" s="49">
        <v>44470</v>
      </c>
      <c r="B56" s="39">
        <v>0</v>
      </c>
      <c r="C56" s="39">
        <v>280.60692660000035</v>
      </c>
      <c r="D56" s="39">
        <v>0</v>
      </c>
      <c r="E56" s="39">
        <v>305.19887640936275</v>
      </c>
      <c r="F56" s="39">
        <v>280.60692660000035</v>
      </c>
      <c r="G56" s="39">
        <v>305.19887640936275</v>
      </c>
    </row>
    <row r="57" spans="1:7" ht="11.25" customHeight="1" x14ac:dyDescent="0.2">
      <c r="A57" s="49">
        <v>44501</v>
      </c>
      <c r="B57" s="39">
        <v>0</v>
      </c>
      <c r="C57" s="39">
        <v>266.37073260000045</v>
      </c>
      <c r="D57" s="39">
        <v>0</v>
      </c>
      <c r="E57" s="39">
        <v>289.71504475277936</v>
      </c>
      <c r="F57" s="39">
        <v>266.37073260000045</v>
      </c>
      <c r="G57" s="39">
        <v>289.71504475277936</v>
      </c>
    </row>
    <row r="58" spans="1:7" ht="11.25" customHeight="1" x14ac:dyDescent="0.2">
      <c r="A58" s="49">
        <v>44531</v>
      </c>
      <c r="B58" s="39">
        <v>0</v>
      </c>
      <c r="C58" s="39">
        <v>291.6111198000001</v>
      </c>
      <c r="D58" s="39">
        <v>0</v>
      </c>
      <c r="E58" s="39">
        <v>317.16745979796497</v>
      </c>
      <c r="F58" s="39">
        <v>291.6111198000001</v>
      </c>
      <c r="G58" s="39">
        <v>317.16745979796497</v>
      </c>
    </row>
    <row r="59" spans="1:7" ht="11.25" customHeight="1" x14ac:dyDescent="0.2">
      <c r="A59" s="49">
        <v>44562</v>
      </c>
      <c r="B59" s="39">
        <v>0</v>
      </c>
      <c r="C59" s="39">
        <v>492.14907420000105</v>
      </c>
      <c r="D59" s="39">
        <v>0</v>
      </c>
      <c r="E59" s="39">
        <v>535.28024518746236</v>
      </c>
      <c r="F59" s="39">
        <v>492.14907420000105</v>
      </c>
      <c r="G59" s="39">
        <v>535.28024518746236</v>
      </c>
    </row>
    <row r="60" spans="1:7" ht="11.25" customHeight="1" x14ac:dyDescent="0.2">
      <c r="A60" s="49">
        <v>44593</v>
      </c>
      <c r="B60" s="39">
        <v>0</v>
      </c>
      <c r="C60" s="39">
        <v>323.70027060000018</v>
      </c>
      <c r="D60" s="39">
        <v>0</v>
      </c>
      <c r="E60" s="39">
        <v>352.06885331577774</v>
      </c>
      <c r="F60" s="39">
        <v>323.70027060000018</v>
      </c>
      <c r="G60" s="39">
        <v>352.06885331577774</v>
      </c>
    </row>
    <row r="61" spans="1:7" ht="11.25" customHeight="1" x14ac:dyDescent="0.2">
      <c r="A61" s="49">
        <v>44621</v>
      </c>
      <c r="B61" s="39">
        <v>0</v>
      </c>
      <c r="C61" s="39">
        <v>259.40654039999987</v>
      </c>
      <c r="D61" s="39">
        <v>0</v>
      </c>
      <c r="E61" s="39">
        <v>282.14052169915266</v>
      </c>
      <c r="F61" s="39">
        <v>259.40654039999987</v>
      </c>
      <c r="G61" s="39">
        <v>282.14052169915266</v>
      </c>
    </row>
    <row r="62" spans="1:7" ht="11.25" customHeight="1" x14ac:dyDescent="0.2">
      <c r="A62" s="49">
        <v>44652</v>
      </c>
      <c r="B62" s="39">
        <v>0</v>
      </c>
      <c r="C62" s="39">
        <v>262.52311260000033</v>
      </c>
      <c r="D62" s="39">
        <v>0</v>
      </c>
      <c r="E62" s="39">
        <v>285.53022538613499</v>
      </c>
      <c r="F62" s="39">
        <v>262.52311260000033</v>
      </c>
      <c r="G62" s="39">
        <v>285.53022538613499</v>
      </c>
    </row>
    <row r="63" spans="1:7" ht="11.25" customHeight="1" x14ac:dyDescent="0.2">
      <c r="A63" s="49">
        <v>44682</v>
      </c>
      <c r="B63" s="39">
        <v>0</v>
      </c>
      <c r="C63" s="39">
        <v>443.36125260000034</v>
      </c>
      <c r="D63" s="39">
        <v>0</v>
      </c>
      <c r="E63" s="39">
        <v>482.21673561841294</v>
      </c>
      <c r="F63" s="39">
        <v>443.36125260000034</v>
      </c>
      <c r="G63" s="39">
        <v>482.21673561841294</v>
      </c>
    </row>
    <row r="64" spans="1:7" ht="11.25" customHeight="1" x14ac:dyDescent="0.2">
      <c r="A64" s="49">
        <v>44713</v>
      </c>
      <c r="B64" s="39">
        <v>0</v>
      </c>
      <c r="C64" s="39">
        <v>211.50367139999986</v>
      </c>
      <c r="D64" s="39">
        <v>0</v>
      </c>
      <c r="E64" s="39">
        <v>230.03952058443221</v>
      </c>
      <c r="F64" s="39">
        <v>211.50367139999986</v>
      </c>
      <c r="G64" s="39">
        <v>230.03952058443221</v>
      </c>
    </row>
    <row r="65" spans="1:7" ht="11.25" customHeight="1" x14ac:dyDescent="0.2">
      <c r="A65" s="49">
        <v>44743</v>
      </c>
      <c r="B65" s="39">
        <v>0</v>
      </c>
      <c r="C65" s="39">
        <v>268.1791139999998</v>
      </c>
      <c r="D65" s="39">
        <v>0</v>
      </c>
      <c r="E65" s="39">
        <v>291.68190985510137</v>
      </c>
      <c r="F65" s="39">
        <v>268.1791139999998</v>
      </c>
      <c r="G65" s="39">
        <v>291.68190985510137</v>
      </c>
    </row>
    <row r="66" spans="1:7" ht="11.25" customHeight="1" x14ac:dyDescent="0.2">
      <c r="A66" s="49">
        <v>44774</v>
      </c>
      <c r="B66" s="39">
        <v>0</v>
      </c>
      <c r="C66" s="39">
        <v>385.18523819999973</v>
      </c>
      <c r="D66" s="39">
        <v>0</v>
      </c>
      <c r="E66" s="39">
        <v>418.94226679475173</v>
      </c>
      <c r="F66" s="39">
        <v>385.18523819999973</v>
      </c>
      <c r="G66" s="39">
        <v>418.94226679475173</v>
      </c>
    </row>
    <row r="67" spans="1:7" ht="11.25" customHeight="1" x14ac:dyDescent="0.2">
      <c r="A67" s="41" t="s">
        <v>550</v>
      </c>
      <c r="B67" s="39">
        <v>0</v>
      </c>
      <c r="C67" s="39">
        <v>105846.56212999998</v>
      </c>
      <c r="D67" s="39">
        <v>0</v>
      </c>
      <c r="E67" s="39">
        <v>109113.78216676091</v>
      </c>
      <c r="F67" s="39">
        <v>105846.56212999998</v>
      </c>
      <c r="G67" s="39">
        <v>109113.78216676091</v>
      </c>
    </row>
    <row r="68" spans="1:7" ht="11.25" customHeight="1" x14ac:dyDescent="0.2">
      <c r="A68" s="42" t="s">
        <v>22</v>
      </c>
      <c r="B68" s="39">
        <v>0</v>
      </c>
      <c r="C68" s="39">
        <v>105846.56212999998</v>
      </c>
      <c r="D68" s="39">
        <v>0</v>
      </c>
      <c r="E68" s="39">
        <v>109113.78216676091</v>
      </c>
      <c r="F68" s="39">
        <v>105846.56212999998</v>
      </c>
      <c r="G68" s="39">
        <v>109113.78216676091</v>
      </c>
    </row>
    <row r="69" spans="1:7" ht="11.25" customHeight="1" x14ac:dyDescent="0.2">
      <c r="A69" s="43" t="s">
        <v>23</v>
      </c>
      <c r="B69" s="39">
        <v>0</v>
      </c>
      <c r="C69" s="39">
        <v>105846.56212999998</v>
      </c>
      <c r="D69" s="39">
        <v>0</v>
      </c>
      <c r="E69" s="39">
        <v>109113.78216676091</v>
      </c>
      <c r="F69" s="39">
        <v>105846.56212999998</v>
      </c>
      <c r="G69" s="39">
        <v>109113.78216676091</v>
      </c>
    </row>
    <row r="70" spans="1:7" ht="11.25" customHeight="1" x14ac:dyDescent="0.2">
      <c r="A70" s="44" t="s">
        <v>24</v>
      </c>
      <c r="B70" s="39">
        <v>0</v>
      </c>
      <c r="C70" s="39">
        <v>105846.56212999998</v>
      </c>
      <c r="D70" s="39">
        <v>0</v>
      </c>
      <c r="E70" s="39">
        <v>109113.78216676091</v>
      </c>
      <c r="F70" s="39">
        <v>105846.56212999998</v>
      </c>
      <c r="G70" s="39">
        <v>109113.78216676091</v>
      </c>
    </row>
    <row r="71" spans="1:7" ht="11.25" customHeight="1" x14ac:dyDescent="0.2">
      <c r="A71" s="45" t="s">
        <v>29</v>
      </c>
      <c r="B71" s="39">
        <v>0</v>
      </c>
      <c r="C71" s="39">
        <v>41408.502079999991</v>
      </c>
      <c r="D71" s="39">
        <v>0</v>
      </c>
      <c r="E71" s="39">
        <v>42687.028206248593</v>
      </c>
      <c r="F71" s="39">
        <v>41408.502079999991</v>
      </c>
      <c r="G71" s="39">
        <v>42687.028206248593</v>
      </c>
    </row>
    <row r="72" spans="1:7" ht="11.25" customHeight="1" x14ac:dyDescent="0.2">
      <c r="A72" s="46" t="s">
        <v>25</v>
      </c>
      <c r="B72" s="39">
        <v>0</v>
      </c>
      <c r="C72" s="39">
        <v>41408.502079999991</v>
      </c>
      <c r="D72" s="39">
        <v>0</v>
      </c>
      <c r="E72" s="39">
        <v>42687.028206248593</v>
      </c>
      <c r="F72" s="39">
        <v>41408.502079999991</v>
      </c>
      <c r="G72" s="39">
        <v>42687.028206248593</v>
      </c>
    </row>
    <row r="73" spans="1:7" ht="11.25" customHeight="1" x14ac:dyDescent="0.2">
      <c r="A73" s="47" t="s">
        <v>25</v>
      </c>
      <c r="B73" s="39">
        <v>0</v>
      </c>
      <c r="C73" s="39">
        <v>41408.502079999991</v>
      </c>
      <c r="D73" s="39">
        <v>0</v>
      </c>
      <c r="E73" s="39">
        <v>42687.028206248593</v>
      </c>
      <c r="F73" s="39">
        <v>41408.502079999991</v>
      </c>
      <c r="G73" s="39">
        <v>42687.028206248593</v>
      </c>
    </row>
    <row r="74" spans="1:7" ht="11.25" customHeight="1" x14ac:dyDescent="0.2">
      <c r="A74" s="48" t="s">
        <v>25</v>
      </c>
      <c r="B74" s="39">
        <v>0</v>
      </c>
      <c r="C74" s="39">
        <v>41408.502079999991</v>
      </c>
      <c r="D74" s="39">
        <v>0</v>
      </c>
      <c r="E74" s="39">
        <v>42687.028206248593</v>
      </c>
      <c r="F74" s="39">
        <v>41408.502079999991</v>
      </c>
      <c r="G74" s="39">
        <v>42687.028206248593</v>
      </c>
    </row>
    <row r="75" spans="1:7" ht="11.25" customHeight="1" x14ac:dyDescent="0.2">
      <c r="A75" s="49">
        <v>44440</v>
      </c>
      <c r="B75" s="39">
        <v>0</v>
      </c>
      <c r="C75" s="39">
        <v>2202.3023999999996</v>
      </c>
      <c r="D75" s="39">
        <v>0</v>
      </c>
      <c r="E75" s="39">
        <v>2270.300540837361</v>
      </c>
      <c r="F75" s="39">
        <v>2202.3023999999996</v>
      </c>
      <c r="G75" s="39">
        <v>2270.300540837361</v>
      </c>
    </row>
    <row r="76" spans="1:7" ht="11.25" customHeight="1" x14ac:dyDescent="0.2">
      <c r="A76" s="49">
        <v>44470</v>
      </c>
      <c r="B76" s="39">
        <v>0</v>
      </c>
      <c r="C76" s="39">
        <v>2224.6607999999997</v>
      </c>
      <c r="D76" s="39">
        <v>0</v>
      </c>
      <c r="E76" s="39">
        <v>2293.3492772925624</v>
      </c>
      <c r="F76" s="39">
        <v>2224.6607999999997</v>
      </c>
      <c r="G76" s="39">
        <v>2293.3492772925624</v>
      </c>
    </row>
    <row r="77" spans="1:7" ht="11.25" customHeight="1" x14ac:dyDescent="0.2">
      <c r="A77" s="49">
        <v>44501</v>
      </c>
      <c r="B77" s="39">
        <v>0</v>
      </c>
      <c r="C77" s="39">
        <v>2224.6607999999997</v>
      </c>
      <c r="D77" s="39">
        <v>0</v>
      </c>
      <c r="E77" s="39">
        <v>2293.3492772925624</v>
      </c>
      <c r="F77" s="39">
        <v>2224.6607999999997</v>
      </c>
      <c r="G77" s="39">
        <v>2293.3492772925624</v>
      </c>
    </row>
    <row r="78" spans="1:7" ht="11.25" customHeight="1" x14ac:dyDescent="0.2">
      <c r="A78" s="49">
        <v>44531</v>
      </c>
      <c r="B78" s="39">
        <v>0</v>
      </c>
      <c r="C78" s="39">
        <v>2347.6319999999996</v>
      </c>
      <c r="D78" s="39">
        <v>0</v>
      </c>
      <c r="E78" s="39">
        <v>2420.1173277961711</v>
      </c>
      <c r="F78" s="39">
        <v>2347.6319999999996</v>
      </c>
      <c r="G78" s="39">
        <v>2420.1173277961711</v>
      </c>
    </row>
    <row r="79" spans="1:7" ht="11.25" customHeight="1" x14ac:dyDescent="0.2">
      <c r="A79" s="49">
        <v>44562</v>
      </c>
      <c r="B79" s="39">
        <v>0</v>
      </c>
      <c r="C79" s="39">
        <v>2381.1695999999993</v>
      </c>
      <c r="D79" s="39">
        <v>0</v>
      </c>
      <c r="E79" s="39">
        <v>2454.6904324789739</v>
      </c>
      <c r="F79" s="39">
        <v>2381.1695999999993</v>
      </c>
      <c r="G79" s="39">
        <v>2454.6904324789739</v>
      </c>
    </row>
    <row r="80" spans="1:7" ht="11.25" customHeight="1" x14ac:dyDescent="0.2">
      <c r="A80" s="49">
        <v>44593</v>
      </c>
      <c r="B80" s="39">
        <v>0</v>
      </c>
      <c r="C80" s="39">
        <v>4538.3825599999991</v>
      </c>
      <c r="D80" s="39">
        <v>0</v>
      </c>
      <c r="E80" s="39">
        <v>4678.5093547983452</v>
      </c>
      <c r="F80" s="39">
        <v>4538.3825599999991</v>
      </c>
      <c r="G80" s="39">
        <v>4678.5093547983452</v>
      </c>
    </row>
    <row r="81" spans="1:7" ht="11.25" customHeight="1" x14ac:dyDescent="0.2">
      <c r="A81" s="49">
        <v>44621</v>
      </c>
      <c r="B81" s="39">
        <v>0</v>
      </c>
      <c r="C81" s="39">
        <v>4864.069919999999</v>
      </c>
      <c r="D81" s="39">
        <v>0</v>
      </c>
      <c r="E81" s="39">
        <v>5014.2526158291157</v>
      </c>
      <c r="F81" s="39">
        <v>4864.069919999999</v>
      </c>
      <c r="G81" s="39">
        <v>5014.2526158291157</v>
      </c>
    </row>
    <row r="82" spans="1:7" ht="11.25" customHeight="1" x14ac:dyDescent="0.2">
      <c r="A82" s="49">
        <v>44652</v>
      </c>
      <c r="B82" s="39">
        <v>0</v>
      </c>
      <c r="C82" s="39">
        <v>4896.489599999999</v>
      </c>
      <c r="D82" s="39">
        <v>0</v>
      </c>
      <c r="E82" s="39">
        <v>5047.6732836891579</v>
      </c>
      <c r="F82" s="39">
        <v>4896.489599999999</v>
      </c>
      <c r="G82" s="39">
        <v>5047.6732836891579</v>
      </c>
    </row>
    <row r="83" spans="1:7" ht="11.25" customHeight="1" x14ac:dyDescent="0.2">
      <c r="A83" s="49">
        <v>44682</v>
      </c>
      <c r="B83" s="39">
        <v>0</v>
      </c>
      <c r="C83" s="39">
        <v>4639.3679999999986</v>
      </c>
      <c r="D83" s="39">
        <v>0</v>
      </c>
      <c r="E83" s="39">
        <v>4782.6128144543381</v>
      </c>
      <c r="F83" s="39">
        <v>4639.3679999999986</v>
      </c>
      <c r="G83" s="39">
        <v>4782.6128144543381</v>
      </c>
    </row>
    <row r="84" spans="1:7" ht="11.25" customHeight="1" x14ac:dyDescent="0.2">
      <c r="A84" s="49">
        <v>44713</v>
      </c>
      <c r="B84" s="39">
        <v>0</v>
      </c>
      <c r="C84" s="39">
        <v>3968.6159999999995</v>
      </c>
      <c r="D84" s="39">
        <v>0</v>
      </c>
      <c r="E84" s="39">
        <v>4091.15072079829</v>
      </c>
      <c r="F84" s="39">
        <v>3968.6159999999995</v>
      </c>
      <c r="G84" s="39">
        <v>4091.15072079829</v>
      </c>
    </row>
    <row r="85" spans="1:7" ht="11.25" customHeight="1" x14ac:dyDescent="0.2">
      <c r="A85" s="49">
        <v>44743</v>
      </c>
      <c r="B85" s="39">
        <v>0</v>
      </c>
      <c r="C85" s="39">
        <v>3532.6271999999994</v>
      </c>
      <c r="D85" s="39">
        <v>0</v>
      </c>
      <c r="E85" s="39">
        <v>3641.7003599218579</v>
      </c>
      <c r="F85" s="39">
        <v>3532.6271999999994</v>
      </c>
      <c r="G85" s="39">
        <v>3641.7003599218579</v>
      </c>
    </row>
    <row r="86" spans="1:7" ht="11.25" customHeight="1" x14ac:dyDescent="0.2">
      <c r="A86" s="49">
        <v>44774</v>
      </c>
      <c r="B86" s="39">
        <v>0</v>
      </c>
      <c r="C86" s="39">
        <v>3588.5231999999996</v>
      </c>
      <c r="D86" s="39">
        <v>0</v>
      </c>
      <c r="E86" s="39">
        <v>3699.3222010598624</v>
      </c>
      <c r="F86" s="39">
        <v>3588.5231999999996</v>
      </c>
      <c r="G86" s="39">
        <v>3699.3222010598624</v>
      </c>
    </row>
    <row r="87" spans="1:7" ht="11.25" customHeight="1" x14ac:dyDescent="0.2">
      <c r="A87" s="45" t="s">
        <v>30</v>
      </c>
      <c r="B87" s="39">
        <v>0</v>
      </c>
      <c r="C87" s="39">
        <v>51289.711199999991</v>
      </c>
      <c r="D87" s="39">
        <v>0</v>
      </c>
      <c r="E87" s="39">
        <v>52872.619441747665</v>
      </c>
      <c r="F87" s="39">
        <v>51289.711199999991</v>
      </c>
      <c r="G87" s="39">
        <v>52872.619441747665</v>
      </c>
    </row>
    <row r="88" spans="1:7" ht="11.25" customHeight="1" x14ac:dyDescent="0.2">
      <c r="A88" s="46" t="s">
        <v>25</v>
      </c>
      <c r="B88" s="39">
        <v>0</v>
      </c>
      <c r="C88" s="39">
        <v>51289.711199999991</v>
      </c>
      <c r="D88" s="39">
        <v>0</v>
      </c>
      <c r="E88" s="39">
        <v>52872.619441747665</v>
      </c>
      <c r="F88" s="39">
        <v>51289.711199999991</v>
      </c>
      <c r="G88" s="39">
        <v>52872.619441747665</v>
      </c>
    </row>
    <row r="89" spans="1:7" ht="11.25" customHeight="1" x14ac:dyDescent="0.2">
      <c r="A89" s="47" t="s">
        <v>25</v>
      </c>
      <c r="B89" s="39">
        <v>0</v>
      </c>
      <c r="C89" s="39">
        <v>51289.711199999991</v>
      </c>
      <c r="D89" s="39">
        <v>0</v>
      </c>
      <c r="E89" s="39">
        <v>52872.619441747665</v>
      </c>
      <c r="F89" s="39">
        <v>51289.711199999991</v>
      </c>
      <c r="G89" s="39">
        <v>52872.619441747665</v>
      </c>
    </row>
    <row r="90" spans="1:7" ht="11.25" customHeight="1" x14ac:dyDescent="0.2">
      <c r="A90" s="48" t="s">
        <v>25</v>
      </c>
      <c r="B90" s="39">
        <v>0</v>
      </c>
      <c r="C90" s="39">
        <v>51289.711199999991</v>
      </c>
      <c r="D90" s="39">
        <v>0</v>
      </c>
      <c r="E90" s="39">
        <v>52872.619441747665</v>
      </c>
      <c r="F90" s="39">
        <v>51289.711199999991</v>
      </c>
      <c r="G90" s="39">
        <v>52872.619441747665</v>
      </c>
    </row>
    <row r="91" spans="1:7" ht="11.25" customHeight="1" x14ac:dyDescent="0.2">
      <c r="A91" s="49">
        <v>44440</v>
      </c>
      <c r="B91" s="39">
        <v>0</v>
      </c>
      <c r="C91" s="39">
        <v>2822.9291999999991</v>
      </c>
      <c r="D91" s="39">
        <v>0</v>
      </c>
      <c r="E91" s="39">
        <v>2910.0507257798167</v>
      </c>
      <c r="F91" s="39">
        <v>2822.9291999999991</v>
      </c>
      <c r="G91" s="39">
        <v>2910.0507257798167</v>
      </c>
    </row>
    <row r="92" spans="1:7" ht="11.25" customHeight="1" x14ac:dyDescent="0.2">
      <c r="A92" s="49">
        <v>44470</v>
      </c>
      <c r="B92" s="39">
        <v>0</v>
      </c>
      <c r="C92" s="39">
        <v>2745.1897199999994</v>
      </c>
      <c r="D92" s="39">
        <v>0</v>
      </c>
      <c r="E92" s="39">
        <v>2829.9120421048078</v>
      </c>
      <c r="F92" s="39">
        <v>2745.1897199999994</v>
      </c>
      <c r="G92" s="39">
        <v>2829.9120421048078</v>
      </c>
    </row>
    <row r="93" spans="1:7" ht="11.25" customHeight="1" x14ac:dyDescent="0.2">
      <c r="A93" s="49">
        <v>44501</v>
      </c>
      <c r="B93" s="39">
        <v>0</v>
      </c>
      <c r="C93" s="39">
        <v>2839.440239999999</v>
      </c>
      <c r="D93" s="39">
        <v>0</v>
      </c>
      <c r="E93" s="39">
        <v>2927.0713311621193</v>
      </c>
      <c r="F93" s="39">
        <v>2839.440239999999</v>
      </c>
      <c r="G93" s="39">
        <v>2927.0713311621193</v>
      </c>
    </row>
    <row r="94" spans="1:7" ht="11.25" customHeight="1" x14ac:dyDescent="0.2">
      <c r="A94" s="49">
        <v>44531</v>
      </c>
      <c r="B94" s="39">
        <v>0</v>
      </c>
      <c r="C94" s="39">
        <v>3014.6407199999994</v>
      </c>
      <c r="D94" s="39">
        <v>0</v>
      </c>
      <c r="E94" s="39">
        <v>3107.6788660521097</v>
      </c>
      <c r="F94" s="39">
        <v>3014.6407199999994</v>
      </c>
      <c r="G94" s="39">
        <v>3107.6788660521097</v>
      </c>
    </row>
    <row r="95" spans="1:7" ht="11.25" customHeight="1" x14ac:dyDescent="0.2">
      <c r="A95" s="49">
        <v>44562</v>
      </c>
      <c r="B95" s="39">
        <v>0</v>
      </c>
      <c r="C95" s="39">
        <v>3114.6242399999992</v>
      </c>
      <c r="D95" s="39">
        <v>0</v>
      </c>
      <c r="E95" s="39">
        <v>3210.7480875338319</v>
      </c>
      <c r="F95" s="39">
        <v>3114.6242399999992</v>
      </c>
      <c r="G95" s="39">
        <v>3210.7480875338319</v>
      </c>
    </row>
    <row r="96" spans="1:7" ht="11.25" customHeight="1" x14ac:dyDescent="0.2">
      <c r="A96" s="49">
        <v>44593</v>
      </c>
      <c r="B96" s="39">
        <v>0</v>
      </c>
      <c r="C96" s="39">
        <v>5641.9599599999992</v>
      </c>
      <c r="D96" s="39">
        <v>0</v>
      </c>
      <c r="E96" s="39">
        <v>5816.082697511034</v>
      </c>
      <c r="F96" s="39">
        <v>5641.9599599999992</v>
      </c>
      <c r="G96" s="39">
        <v>5816.082697511034</v>
      </c>
    </row>
    <row r="97" spans="1:7" ht="11.25" customHeight="1" x14ac:dyDescent="0.2">
      <c r="A97" s="49">
        <v>44621</v>
      </c>
      <c r="B97" s="39">
        <v>0</v>
      </c>
      <c r="C97" s="39">
        <v>6054.9652799999985</v>
      </c>
      <c r="D97" s="39">
        <v>0</v>
      </c>
      <c r="E97" s="39">
        <v>6241.8342293655787</v>
      </c>
      <c r="F97" s="39">
        <v>6054.9652799999985</v>
      </c>
      <c r="G97" s="39">
        <v>6241.8342293655787</v>
      </c>
    </row>
    <row r="98" spans="1:7" ht="11.25" customHeight="1" x14ac:dyDescent="0.2">
      <c r="A98" s="49">
        <v>44652</v>
      </c>
      <c r="B98" s="39">
        <v>0</v>
      </c>
      <c r="C98" s="39">
        <v>5996.9473199999984</v>
      </c>
      <c r="D98" s="39">
        <v>0</v>
      </c>
      <c r="E98" s="39">
        <v>6182.0257132305433</v>
      </c>
      <c r="F98" s="39">
        <v>5996.9473199999984</v>
      </c>
      <c r="G98" s="39">
        <v>6182.0257132305433</v>
      </c>
    </row>
    <row r="99" spans="1:7" ht="11.25" customHeight="1" x14ac:dyDescent="0.2">
      <c r="A99" s="49">
        <v>44682</v>
      </c>
      <c r="B99" s="39">
        <v>0</v>
      </c>
      <c r="C99" s="39">
        <v>5575.2278399999987</v>
      </c>
      <c r="D99" s="39">
        <v>0</v>
      </c>
      <c r="E99" s="39">
        <v>5747.2910840908935</v>
      </c>
      <c r="F99" s="39">
        <v>5575.2278399999987</v>
      </c>
      <c r="G99" s="39">
        <v>5747.2910840908935</v>
      </c>
    </row>
    <row r="100" spans="1:7" ht="11.25" customHeight="1" x14ac:dyDescent="0.2">
      <c r="A100" s="49">
        <v>44713</v>
      </c>
      <c r="B100" s="39">
        <v>0</v>
      </c>
      <c r="C100" s="39">
        <v>4831.7723999999989</v>
      </c>
      <c r="D100" s="39">
        <v>0</v>
      </c>
      <c r="E100" s="39">
        <v>4980.8910472933176</v>
      </c>
      <c r="F100" s="39">
        <v>4831.7723999999989</v>
      </c>
      <c r="G100" s="39">
        <v>4980.8910472933176</v>
      </c>
    </row>
    <row r="101" spans="1:7" ht="11.25" customHeight="1" x14ac:dyDescent="0.2">
      <c r="A101" s="49">
        <v>44743</v>
      </c>
      <c r="B101" s="39">
        <v>0</v>
      </c>
      <c r="C101" s="39">
        <v>4267.8745199999994</v>
      </c>
      <c r="D101" s="39">
        <v>0</v>
      </c>
      <c r="E101" s="39">
        <v>4399.5900940282836</v>
      </c>
      <c r="F101" s="39">
        <v>4267.8745199999994</v>
      </c>
      <c r="G101" s="39">
        <v>4399.5900940282836</v>
      </c>
    </row>
    <row r="102" spans="1:7" ht="11.25" customHeight="1" x14ac:dyDescent="0.2">
      <c r="A102" s="49">
        <v>44774</v>
      </c>
      <c r="B102" s="39">
        <v>0</v>
      </c>
      <c r="C102" s="39">
        <v>4384.1397599999982</v>
      </c>
      <c r="D102" s="39">
        <v>0</v>
      </c>
      <c r="E102" s="39">
        <v>4519.4435235953315</v>
      </c>
      <c r="F102" s="39">
        <v>4384.1397599999982</v>
      </c>
      <c r="G102" s="39">
        <v>4519.4435235953315</v>
      </c>
    </row>
    <row r="103" spans="1:7" ht="11.25" customHeight="1" x14ac:dyDescent="0.2">
      <c r="A103" s="45" t="s">
        <v>31</v>
      </c>
      <c r="B103" s="39">
        <v>0</v>
      </c>
      <c r="C103" s="39">
        <v>13148.348849999997</v>
      </c>
      <c r="D103" s="39">
        <v>0</v>
      </c>
      <c r="E103" s="39">
        <v>13554.134518764664</v>
      </c>
      <c r="F103" s="39">
        <v>13148.348849999997</v>
      </c>
      <c r="G103" s="39">
        <v>13554.134518764664</v>
      </c>
    </row>
    <row r="104" spans="1:7" ht="11.25" customHeight="1" x14ac:dyDescent="0.2">
      <c r="A104" s="46" t="s">
        <v>25</v>
      </c>
      <c r="B104" s="39">
        <v>0</v>
      </c>
      <c r="C104" s="39">
        <v>13148.348849999997</v>
      </c>
      <c r="D104" s="39">
        <v>0</v>
      </c>
      <c r="E104" s="39">
        <v>13554.134518764664</v>
      </c>
      <c r="F104" s="39">
        <v>13148.348849999997</v>
      </c>
      <c r="G104" s="39">
        <v>13554.134518764664</v>
      </c>
    </row>
    <row r="105" spans="1:7" ht="11.25" customHeight="1" x14ac:dyDescent="0.2">
      <c r="A105" s="47" t="s">
        <v>25</v>
      </c>
      <c r="B105" s="39">
        <v>0</v>
      </c>
      <c r="C105" s="39">
        <v>13148.348849999997</v>
      </c>
      <c r="D105" s="39">
        <v>0</v>
      </c>
      <c r="E105" s="39">
        <v>13554.134518764664</v>
      </c>
      <c r="F105" s="39">
        <v>13148.348849999997</v>
      </c>
      <c r="G105" s="39">
        <v>13554.134518764664</v>
      </c>
    </row>
    <row r="106" spans="1:7" ht="11.25" customHeight="1" x14ac:dyDescent="0.2">
      <c r="A106" s="48" t="s">
        <v>25</v>
      </c>
      <c r="B106" s="39">
        <v>0</v>
      </c>
      <c r="C106" s="39">
        <v>13148.348849999997</v>
      </c>
      <c r="D106" s="39">
        <v>0</v>
      </c>
      <c r="E106" s="39">
        <v>13554.134518764664</v>
      </c>
      <c r="F106" s="39">
        <v>13148.348849999997</v>
      </c>
      <c r="G106" s="39">
        <v>13554.134518764664</v>
      </c>
    </row>
    <row r="107" spans="1:7" ht="11.25" customHeight="1" x14ac:dyDescent="0.2">
      <c r="A107" s="49">
        <v>44440</v>
      </c>
      <c r="B107" s="39">
        <v>0</v>
      </c>
      <c r="C107" s="39">
        <v>741.90752999999984</v>
      </c>
      <c r="D107" s="39">
        <v>0</v>
      </c>
      <c r="E107" s="39">
        <v>764.80435504298555</v>
      </c>
      <c r="F107" s="39">
        <v>741.90752999999984</v>
      </c>
      <c r="G107" s="39">
        <v>764.80435504298555</v>
      </c>
    </row>
    <row r="108" spans="1:7" ht="11.25" customHeight="1" x14ac:dyDescent="0.2">
      <c r="A108" s="49">
        <v>44470</v>
      </c>
      <c r="B108" s="39">
        <v>0</v>
      </c>
      <c r="C108" s="39">
        <v>586.94453999999985</v>
      </c>
      <c r="D108" s="39">
        <v>0</v>
      </c>
      <c r="E108" s="39">
        <v>605.05888161116491</v>
      </c>
      <c r="F108" s="39">
        <v>586.94453999999985</v>
      </c>
      <c r="G108" s="39">
        <v>605.05888161116491</v>
      </c>
    </row>
    <row r="109" spans="1:7" ht="11.25" customHeight="1" x14ac:dyDescent="0.2">
      <c r="A109" s="49">
        <v>44501</v>
      </c>
      <c r="B109" s="39">
        <v>0</v>
      </c>
      <c r="C109" s="39">
        <v>714.21713999999986</v>
      </c>
      <c r="D109" s="39">
        <v>0</v>
      </c>
      <c r="E109" s="39">
        <v>736.2593814330819</v>
      </c>
      <c r="F109" s="39">
        <v>714.21713999999986</v>
      </c>
      <c r="G109" s="39">
        <v>736.2593814330819</v>
      </c>
    </row>
    <row r="110" spans="1:7" ht="11.25" customHeight="1" x14ac:dyDescent="0.2">
      <c r="A110" s="49">
        <v>44531</v>
      </c>
      <c r="B110" s="39">
        <v>0</v>
      </c>
      <c r="C110" s="39">
        <v>884.42990999999972</v>
      </c>
      <c r="D110" s="39">
        <v>0</v>
      </c>
      <c r="E110" s="39">
        <v>911.72527511383487</v>
      </c>
      <c r="F110" s="39">
        <v>884.42990999999972</v>
      </c>
      <c r="G110" s="39">
        <v>911.72527511383487</v>
      </c>
    </row>
    <row r="111" spans="1:7" ht="11.25" customHeight="1" x14ac:dyDescent="0.2">
      <c r="A111" s="49">
        <v>44562</v>
      </c>
      <c r="B111" s="39">
        <v>0</v>
      </c>
      <c r="C111" s="39">
        <v>955.74842999999964</v>
      </c>
      <c r="D111" s="39">
        <v>0</v>
      </c>
      <c r="E111" s="39">
        <v>985.2448344735036</v>
      </c>
      <c r="F111" s="39">
        <v>955.74842999999964</v>
      </c>
      <c r="G111" s="39">
        <v>985.2448344735036</v>
      </c>
    </row>
    <row r="112" spans="1:7" ht="11.25" customHeight="1" x14ac:dyDescent="0.2">
      <c r="A112" s="49">
        <v>44593</v>
      </c>
      <c r="B112" s="39">
        <v>0</v>
      </c>
      <c r="C112" s="39">
        <v>1508.2949699999997</v>
      </c>
      <c r="D112" s="39">
        <v>0</v>
      </c>
      <c r="E112" s="39">
        <v>1554.8441215382047</v>
      </c>
      <c r="F112" s="39">
        <v>1508.2949699999997</v>
      </c>
      <c r="G112" s="39">
        <v>1554.8441215382047</v>
      </c>
    </row>
    <row r="113" spans="1:7" ht="11.25" customHeight="1" x14ac:dyDescent="0.2">
      <c r="A113" s="49">
        <v>44621</v>
      </c>
      <c r="B113" s="39">
        <v>0</v>
      </c>
      <c r="C113" s="39">
        <v>1635.0515999999996</v>
      </c>
      <c r="D113" s="39">
        <v>0</v>
      </c>
      <c r="E113" s="39">
        <v>1685.5127274419247</v>
      </c>
      <c r="F113" s="39">
        <v>1635.0515999999996</v>
      </c>
      <c r="G113" s="39">
        <v>1685.5127274419247</v>
      </c>
    </row>
    <row r="114" spans="1:7" ht="11.25" customHeight="1" x14ac:dyDescent="0.2">
      <c r="A114" s="49">
        <v>44652</v>
      </c>
      <c r="B114" s="39">
        <v>0</v>
      </c>
      <c r="C114" s="39">
        <v>1546.7060699999995</v>
      </c>
      <c r="D114" s="39">
        <v>0</v>
      </c>
      <c r="E114" s="39">
        <v>1594.4406687817561</v>
      </c>
      <c r="F114" s="39">
        <v>1546.7060699999995</v>
      </c>
      <c r="G114" s="39">
        <v>1594.4406687817561</v>
      </c>
    </row>
    <row r="115" spans="1:7" ht="11.25" customHeight="1" x14ac:dyDescent="0.2">
      <c r="A115" s="49">
        <v>44682</v>
      </c>
      <c r="B115" s="39">
        <v>0</v>
      </c>
      <c r="C115" s="39">
        <v>1284.3639899999996</v>
      </c>
      <c r="D115" s="39">
        <v>0</v>
      </c>
      <c r="E115" s="39">
        <v>1324.0021610407234</v>
      </c>
      <c r="F115" s="39">
        <v>1284.3639899999996</v>
      </c>
      <c r="G115" s="39">
        <v>1324.0021610407234</v>
      </c>
    </row>
    <row r="116" spans="1:7" ht="11.25" customHeight="1" x14ac:dyDescent="0.2">
      <c r="A116" s="49">
        <v>44713</v>
      </c>
      <c r="B116" s="39">
        <v>0</v>
      </c>
      <c r="C116" s="39">
        <v>1286.5998599999996</v>
      </c>
      <c r="D116" s="39">
        <v>0</v>
      </c>
      <c r="E116" s="39">
        <v>1326.3070346862437</v>
      </c>
      <c r="F116" s="39">
        <v>1286.5998599999996</v>
      </c>
      <c r="G116" s="39">
        <v>1326.3070346862437</v>
      </c>
    </row>
    <row r="117" spans="1:7" ht="11.25" customHeight="1" x14ac:dyDescent="0.2">
      <c r="A117" s="49">
        <v>44743</v>
      </c>
      <c r="B117" s="39">
        <v>0</v>
      </c>
      <c r="C117" s="39">
        <v>933.67637999999977</v>
      </c>
      <c r="D117" s="39">
        <v>0</v>
      </c>
      <c r="E117" s="39">
        <v>962.49159463952265</v>
      </c>
      <c r="F117" s="39">
        <v>933.67637999999977</v>
      </c>
      <c r="G117" s="39">
        <v>962.49159463952265</v>
      </c>
    </row>
    <row r="118" spans="1:7" ht="11.25" customHeight="1" x14ac:dyDescent="0.2">
      <c r="A118" s="49">
        <v>44774</v>
      </c>
      <c r="B118" s="39">
        <v>0</v>
      </c>
      <c r="C118" s="39">
        <v>1070.4084299999997</v>
      </c>
      <c r="D118" s="39">
        <v>0</v>
      </c>
      <c r="E118" s="39">
        <v>1103.4434829617171</v>
      </c>
      <c r="F118" s="39">
        <v>1070.4084299999997</v>
      </c>
      <c r="G118" s="39">
        <v>1103.4434829617171</v>
      </c>
    </row>
    <row r="119" spans="1:7" ht="11.25" customHeight="1" x14ac:dyDescent="0.2">
      <c r="A119" s="45" t="s">
        <v>32</v>
      </c>
      <c r="B119" s="39">
        <v>0</v>
      </c>
      <c r="C119" s="39">
        <v>-2.9329783046705418E-12</v>
      </c>
      <c r="D119" s="39">
        <v>0</v>
      </c>
      <c r="E119" s="39">
        <v>5.8659566093410835E-12</v>
      </c>
      <c r="F119" s="39">
        <v>-2.9329783046705418E-12</v>
      </c>
      <c r="G119" s="39">
        <v>5.8659566093410835E-12</v>
      </c>
    </row>
    <row r="120" spans="1:7" ht="11.25" customHeight="1" x14ac:dyDescent="0.2">
      <c r="A120" s="46" t="s">
        <v>25</v>
      </c>
      <c r="B120" s="39">
        <v>0</v>
      </c>
      <c r="C120" s="39">
        <v>-2.9329783046705418E-12</v>
      </c>
      <c r="D120" s="39">
        <v>0</v>
      </c>
      <c r="E120" s="39">
        <v>5.8659566093410835E-12</v>
      </c>
      <c r="F120" s="39">
        <v>-2.9329783046705418E-12</v>
      </c>
      <c r="G120" s="39">
        <v>5.8659566093410835E-12</v>
      </c>
    </row>
    <row r="121" spans="1:7" ht="11.25" customHeight="1" x14ac:dyDescent="0.2">
      <c r="A121" s="47" t="s">
        <v>25</v>
      </c>
      <c r="B121" s="39">
        <v>0</v>
      </c>
      <c r="C121" s="39">
        <v>-2.9329783046705418E-12</v>
      </c>
      <c r="D121" s="39">
        <v>0</v>
      </c>
      <c r="E121" s="39">
        <v>5.8659566093410835E-12</v>
      </c>
      <c r="F121" s="39">
        <v>-2.9329783046705418E-12</v>
      </c>
      <c r="G121" s="39">
        <v>5.8659566093410835E-12</v>
      </c>
    </row>
    <row r="122" spans="1:7" ht="11.25" customHeight="1" x14ac:dyDescent="0.2">
      <c r="A122" s="48" t="s">
        <v>25</v>
      </c>
      <c r="B122" s="39">
        <v>0</v>
      </c>
      <c r="C122" s="39">
        <v>-2.9329783046705418E-12</v>
      </c>
      <c r="D122" s="39">
        <v>0</v>
      </c>
      <c r="E122" s="39">
        <v>5.8659566093410835E-12</v>
      </c>
      <c r="F122" s="39">
        <v>-2.9329783046705418E-12</v>
      </c>
      <c r="G122" s="39">
        <v>5.8659566093410835E-12</v>
      </c>
    </row>
    <row r="123" spans="1:7" ht="11.25" customHeight="1" x14ac:dyDescent="0.2">
      <c r="A123" s="49">
        <v>44440</v>
      </c>
      <c r="B123" s="39">
        <v>0</v>
      </c>
      <c r="C123" s="39">
        <v>-1.5282353160728234E-13</v>
      </c>
      <c r="D123" s="39">
        <v>0</v>
      </c>
      <c r="E123" s="39">
        <v>3.0564706321456468E-13</v>
      </c>
      <c r="F123" s="39">
        <v>-1.5282353160728234E-13</v>
      </c>
      <c r="G123" s="39">
        <v>3.0564706321456468E-13</v>
      </c>
    </row>
    <row r="124" spans="1:7" ht="11.25" customHeight="1" x14ac:dyDescent="0.2">
      <c r="A124" s="49">
        <v>44470</v>
      </c>
      <c r="B124" s="39">
        <v>0</v>
      </c>
      <c r="C124" s="39">
        <v>-8.0945028457790609E-14</v>
      </c>
      <c r="D124" s="39">
        <v>0</v>
      </c>
      <c r="E124" s="39">
        <v>1.6189005691558122E-13</v>
      </c>
      <c r="F124" s="39">
        <v>-8.0945028457790609E-14</v>
      </c>
      <c r="G124" s="39">
        <v>1.6189005691558122E-13</v>
      </c>
    </row>
    <row r="125" spans="1:7" ht="11.25" customHeight="1" x14ac:dyDescent="0.2">
      <c r="A125" s="49">
        <v>44501</v>
      </c>
      <c r="B125" s="39">
        <v>0</v>
      </c>
      <c r="C125" s="39">
        <v>-1.3437784218695014E-13</v>
      </c>
      <c r="D125" s="39">
        <v>0</v>
      </c>
      <c r="E125" s="39">
        <v>2.6875568437390028E-13</v>
      </c>
      <c r="F125" s="39">
        <v>-1.3437784218695014E-13</v>
      </c>
      <c r="G125" s="39">
        <v>2.6875568437390028E-13</v>
      </c>
    </row>
    <row r="126" spans="1:7" ht="11.25" customHeight="1" x14ac:dyDescent="0.2">
      <c r="A126" s="49">
        <v>44531</v>
      </c>
      <c r="B126" s="39">
        <v>0</v>
      </c>
      <c r="C126" s="39">
        <v>-2.2174617697601205E-13</v>
      </c>
      <c r="D126" s="39">
        <v>0</v>
      </c>
      <c r="E126" s="39">
        <v>4.4349235395202411E-13</v>
      </c>
      <c r="F126" s="39">
        <v>-2.2174617697601205E-13</v>
      </c>
      <c r="G126" s="39">
        <v>4.4349235395202411E-13</v>
      </c>
    </row>
    <row r="127" spans="1:7" ht="11.25" customHeight="1" x14ac:dyDescent="0.2">
      <c r="A127" s="49">
        <v>44562</v>
      </c>
      <c r="B127" s="39">
        <v>0</v>
      </c>
      <c r="C127" s="39">
        <v>-2.9757529773632998E-13</v>
      </c>
      <c r="D127" s="39">
        <v>0</v>
      </c>
      <c r="E127" s="39">
        <v>5.9515059547265995E-13</v>
      </c>
      <c r="F127" s="39">
        <v>-2.9757529773632998E-13</v>
      </c>
      <c r="G127" s="39">
        <v>5.9515059547265995E-13</v>
      </c>
    </row>
    <row r="128" spans="1:7" ht="11.25" customHeight="1" x14ac:dyDescent="0.2">
      <c r="A128" s="49">
        <v>44593</v>
      </c>
      <c r="B128" s="39">
        <v>0</v>
      </c>
      <c r="C128" s="39">
        <v>-4.0591885408503003E-13</v>
      </c>
      <c r="D128" s="39">
        <v>0</v>
      </c>
      <c r="E128" s="39">
        <v>8.1183770817006007E-13</v>
      </c>
      <c r="F128" s="39">
        <v>-4.0591885408503003E-13</v>
      </c>
      <c r="G128" s="39">
        <v>8.1183770817006007E-13</v>
      </c>
    </row>
    <row r="129" spans="1:7" ht="11.25" customHeight="1" x14ac:dyDescent="0.2">
      <c r="A129" s="49">
        <v>44621</v>
      </c>
      <c r="B129" s="39">
        <v>0</v>
      </c>
      <c r="C129" s="39">
        <v>-4.4934722609468737E-13</v>
      </c>
      <c r="D129" s="39">
        <v>0</v>
      </c>
      <c r="E129" s="39">
        <v>8.9869445218937474E-13</v>
      </c>
      <c r="F129" s="39">
        <v>-4.4934722609468737E-13</v>
      </c>
      <c r="G129" s="39">
        <v>8.9869445218937474E-13</v>
      </c>
    </row>
    <row r="130" spans="1:7" ht="11.25" customHeight="1" x14ac:dyDescent="0.2">
      <c r="A130" s="49">
        <v>44652</v>
      </c>
      <c r="B130" s="39">
        <v>0</v>
      </c>
      <c r="C130" s="39">
        <v>-3.4501113077567423E-13</v>
      </c>
      <c r="D130" s="39">
        <v>0</v>
      </c>
      <c r="E130" s="39">
        <v>6.9002226155134846E-13</v>
      </c>
      <c r="F130" s="39">
        <v>-3.4501113077567423E-13</v>
      </c>
      <c r="G130" s="39">
        <v>6.9002226155134846E-13</v>
      </c>
    </row>
    <row r="131" spans="1:7" ht="11.25" customHeight="1" x14ac:dyDescent="0.2">
      <c r="A131" s="49">
        <v>44682</v>
      </c>
      <c r="B131" s="39">
        <v>0</v>
      </c>
      <c r="C131" s="39">
        <v>-2.2055246517993509E-13</v>
      </c>
      <c r="D131" s="39">
        <v>0</v>
      </c>
      <c r="E131" s="39">
        <v>4.4110493035987018E-13</v>
      </c>
      <c r="F131" s="39">
        <v>-2.2055246517993509E-13</v>
      </c>
      <c r="G131" s="39">
        <v>4.4110493035987018E-13</v>
      </c>
    </row>
    <row r="132" spans="1:7" ht="11.25" customHeight="1" x14ac:dyDescent="0.2">
      <c r="A132" s="49">
        <v>44713</v>
      </c>
      <c r="B132" s="39">
        <v>0</v>
      </c>
      <c r="C132" s="39">
        <v>-3.0226487979234661E-13</v>
      </c>
      <c r="D132" s="39">
        <v>0</v>
      </c>
      <c r="E132" s="39">
        <v>6.0452975958469323E-13</v>
      </c>
      <c r="F132" s="39">
        <v>-3.0226487979234661E-13</v>
      </c>
      <c r="G132" s="39">
        <v>6.0452975958469323E-13</v>
      </c>
    </row>
    <row r="133" spans="1:7" ht="11.25" customHeight="1" x14ac:dyDescent="0.2">
      <c r="A133" s="49">
        <v>44743</v>
      </c>
      <c r="B133" s="39">
        <v>0</v>
      </c>
      <c r="C133" s="39">
        <v>-1.2255441106390209E-13</v>
      </c>
      <c r="D133" s="39">
        <v>0</v>
      </c>
      <c r="E133" s="39">
        <v>2.4510882212780418E-13</v>
      </c>
      <c r="F133" s="39">
        <v>-1.2255441106390209E-13</v>
      </c>
      <c r="G133" s="39">
        <v>2.4510882212780418E-13</v>
      </c>
    </row>
    <row r="134" spans="1:7" ht="11.25" customHeight="1" x14ac:dyDescent="0.2">
      <c r="A134" s="49">
        <v>44774</v>
      </c>
      <c r="B134" s="39">
        <v>0</v>
      </c>
      <c r="C134" s="39">
        <v>-1.9986146071460098E-13</v>
      </c>
      <c r="D134" s="39">
        <v>0</v>
      </c>
      <c r="E134" s="39">
        <v>3.9972292142920196E-13</v>
      </c>
      <c r="F134" s="39">
        <v>-1.9986146071460098E-13</v>
      </c>
      <c r="G134" s="39">
        <v>3.9972292142920196E-13</v>
      </c>
    </row>
    <row r="135" spans="1:7" ht="11.25" customHeight="1" x14ac:dyDescent="0.2">
      <c r="A135" s="41" t="s">
        <v>552</v>
      </c>
      <c r="B135" s="39">
        <v>0</v>
      </c>
      <c r="C135" s="39">
        <v>9572.1021099999998</v>
      </c>
      <c r="D135" s="39">
        <v>0</v>
      </c>
      <c r="E135" s="39">
        <v>10025.320667507542</v>
      </c>
      <c r="F135" s="39">
        <v>9572.1021099999998</v>
      </c>
      <c r="G135" s="39">
        <v>10025.320667507542</v>
      </c>
    </row>
    <row r="136" spans="1:7" ht="11.25" customHeight="1" x14ac:dyDescent="0.2">
      <c r="A136" s="42" t="s">
        <v>40</v>
      </c>
      <c r="B136" s="39">
        <v>0</v>
      </c>
      <c r="C136" s="39">
        <v>9572.1021099999998</v>
      </c>
      <c r="D136" s="39">
        <v>0</v>
      </c>
      <c r="E136" s="39">
        <v>10025.320667507542</v>
      </c>
      <c r="F136" s="39">
        <v>9572.1021099999998</v>
      </c>
      <c r="G136" s="39">
        <v>10025.320667507542</v>
      </c>
    </row>
    <row r="137" spans="1:7" ht="11.25" customHeight="1" x14ac:dyDescent="0.2">
      <c r="A137" s="43" t="s">
        <v>23</v>
      </c>
      <c r="B137" s="39">
        <v>0</v>
      </c>
      <c r="C137" s="39">
        <v>9572.1021099999998</v>
      </c>
      <c r="D137" s="39">
        <v>0</v>
      </c>
      <c r="E137" s="39">
        <v>10025.320667507542</v>
      </c>
      <c r="F137" s="39">
        <v>9572.1021099999998</v>
      </c>
      <c r="G137" s="39">
        <v>10025.320667507542</v>
      </c>
    </row>
    <row r="138" spans="1:7" ht="11.25" customHeight="1" x14ac:dyDescent="0.2">
      <c r="A138" s="44" t="s">
        <v>41</v>
      </c>
      <c r="B138" s="39">
        <v>0</v>
      </c>
      <c r="C138" s="39">
        <v>9572.1021099999998</v>
      </c>
      <c r="D138" s="39">
        <v>0</v>
      </c>
      <c r="E138" s="39">
        <v>10025.320667507542</v>
      </c>
      <c r="F138" s="39">
        <v>9572.1021099999998</v>
      </c>
      <c r="G138" s="39">
        <v>10025.320667507542</v>
      </c>
    </row>
    <row r="139" spans="1:7" ht="11.25" customHeight="1" x14ac:dyDescent="0.2">
      <c r="A139" s="45" t="s">
        <v>53</v>
      </c>
      <c r="B139" s="39">
        <v>0</v>
      </c>
      <c r="C139" s="39">
        <v>209.43518399999999</v>
      </c>
      <c r="D139" s="39">
        <v>0</v>
      </c>
      <c r="E139" s="39">
        <v>219.35149192202306</v>
      </c>
      <c r="F139" s="39">
        <v>209.43518399999999</v>
      </c>
      <c r="G139" s="39">
        <v>219.35149192202306</v>
      </c>
    </row>
    <row r="140" spans="1:7" ht="11.25" customHeight="1" x14ac:dyDescent="0.2">
      <c r="A140" s="46" t="s">
        <v>52</v>
      </c>
      <c r="B140" s="39">
        <v>0</v>
      </c>
      <c r="C140" s="39">
        <v>209.43518399999999</v>
      </c>
      <c r="D140" s="39">
        <v>0</v>
      </c>
      <c r="E140" s="39">
        <v>219.35149192202306</v>
      </c>
      <c r="F140" s="39">
        <v>209.43518399999999</v>
      </c>
      <c r="G140" s="39">
        <v>219.35149192202306</v>
      </c>
    </row>
    <row r="141" spans="1:7" ht="11.25" customHeight="1" x14ac:dyDescent="0.2">
      <c r="A141" s="47" t="s">
        <v>25</v>
      </c>
      <c r="B141" s="39">
        <v>0</v>
      </c>
      <c r="C141" s="39">
        <v>209.43518399999999</v>
      </c>
      <c r="D141" s="39">
        <v>0</v>
      </c>
      <c r="E141" s="39">
        <v>219.35149192202306</v>
      </c>
      <c r="F141" s="39">
        <v>209.43518399999999</v>
      </c>
      <c r="G141" s="39">
        <v>219.35149192202306</v>
      </c>
    </row>
    <row r="142" spans="1:7" ht="11.25" customHeight="1" x14ac:dyDescent="0.2">
      <c r="A142" s="48" t="s">
        <v>25</v>
      </c>
      <c r="B142" s="39">
        <v>0</v>
      </c>
      <c r="C142" s="39">
        <v>209.43518399999999</v>
      </c>
      <c r="D142" s="39">
        <v>0</v>
      </c>
      <c r="E142" s="39">
        <v>219.35149192202306</v>
      </c>
      <c r="F142" s="39">
        <v>209.43518399999999</v>
      </c>
      <c r="G142" s="39">
        <v>219.35149192202306</v>
      </c>
    </row>
    <row r="143" spans="1:7" ht="11.25" customHeight="1" x14ac:dyDescent="0.2">
      <c r="A143" s="49">
        <v>44531</v>
      </c>
      <c r="B143" s="39">
        <v>0</v>
      </c>
      <c r="C143" s="39">
        <v>139.623456</v>
      </c>
      <c r="D143" s="39">
        <v>0</v>
      </c>
      <c r="E143" s="39">
        <v>146.23432794801539</v>
      </c>
      <c r="F143" s="39">
        <v>139.623456</v>
      </c>
      <c r="G143" s="39">
        <v>146.23432794801539</v>
      </c>
    </row>
    <row r="144" spans="1:7" ht="11.25" customHeight="1" x14ac:dyDescent="0.2">
      <c r="A144" s="49">
        <v>44562</v>
      </c>
      <c r="B144" s="39">
        <v>0</v>
      </c>
      <c r="C144" s="39">
        <v>35.32141</v>
      </c>
      <c r="D144" s="39">
        <v>0</v>
      </c>
      <c r="E144" s="39">
        <v>36.993803201134838</v>
      </c>
      <c r="F144" s="39">
        <v>35.32141</v>
      </c>
      <c r="G144" s="39">
        <v>36.993803201134838</v>
      </c>
    </row>
    <row r="145" spans="1:7" ht="11.25" customHeight="1" x14ac:dyDescent="0.2">
      <c r="A145" s="49">
        <v>44593</v>
      </c>
      <c r="B145" s="39">
        <v>0</v>
      </c>
      <c r="C145" s="39">
        <v>34.490317999999995</v>
      </c>
      <c r="D145" s="39">
        <v>0</v>
      </c>
      <c r="E145" s="39">
        <v>36.12336077287285</v>
      </c>
      <c r="F145" s="39">
        <v>34.490317999999995</v>
      </c>
      <c r="G145" s="39">
        <v>36.12336077287285</v>
      </c>
    </row>
    <row r="146" spans="1:7" ht="11.25" customHeight="1" x14ac:dyDescent="0.2">
      <c r="A146" s="45" t="s">
        <v>50</v>
      </c>
      <c r="B146" s="39">
        <v>0</v>
      </c>
      <c r="C146" s="39">
        <v>9362.6669259999999</v>
      </c>
      <c r="D146" s="39">
        <v>0</v>
      </c>
      <c r="E146" s="39">
        <v>9805.9691755855183</v>
      </c>
      <c r="F146" s="39">
        <v>9362.6669259999999</v>
      </c>
      <c r="G146" s="39">
        <v>9805.9691755855183</v>
      </c>
    </row>
    <row r="147" spans="1:7" ht="11.25" customHeight="1" x14ac:dyDescent="0.2">
      <c r="A147" s="46" t="s">
        <v>52</v>
      </c>
      <c r="B147" s="39">
        <v>0</v>
      </c>
      <c r="C147" s="39">
        <v>9362.6669259999999</v>
      </c>
      <c r="D147" s="39">
        <v>0</v>
      </c>
      <c r="E147" s="39">
        <v>9805.9691755855183</v>
      </c>
      <c r="F147" s="39">
        <v>9362.6669259999999</v>
      </c>
      <c r="G147" s="39">
        <v>9805.9691755855183</v>
      </c>
    </row>
    <row r="148" spans="1:7" ht="11.25" customHeight="1" x14ac:dyDescent="0.2">
      <c r="A148" s="47" t="s">
        <v>25</v>
      </c>
      <c r="B148" s="39">
        <v>0</v>
      </c>
      <c r="C148" s="39">
        <v>9362.6669259999999</v>
      </c>
      <c r="D148" s="39">
        <v>0</v>
      </c>
      <c r="E148" s="39">
        <v>9805.9691755855183</v>
      </c>
      <c r="F148" s="39">
        <v>9362.6669259999999</v>
      </c>
      <c r="G148" s="39">
        <v>9805.9691755855183</v>
      </c>
    </row>
    <row r="149" spans="1:7" ht="11.25" customHeight="1" x14ac:dyDescent="0.2">
      <c r="A149" s="48" t="s">
        <v>25</v>
      </c>
      <c r="B149" s="39">
        <v>0</v>
      </c>
      <c r="C149" s="39">
        <v>9362.6669259999999</v>
      </c>
      <c r="D149" s="39">
        <v>0</v>
      </c>
      <c r="E149" s="39">
        <v>9805.9691755855183</v>
      </c>
      <c r="F149" s="39">
        <v>9362.6669259999999</v>
      </c>
      <c r="G149" s="39">
        <v>9805.9691755855183</v>
      </c>
    </row>
    <row r="150" spans="1:7" ht="11.25" customHeight="1" x14ac:dyDescent="0.2">
      <c r="A150" s="49">
        <v>44440</v>
      </c>
      <c r="B150" s="39">
        <v>0</v>
      </c>
      <c r="C150" s="39">
        <v>49.034427999999998</v>
      </c>
      <c r="D150" s="39">
        <v>0</v>
      </c>
      <c r="E150" s="39">
        <v>51.356103267457783</v>
      </c>
      <c r="F150" s="39">
        <v>49.034427999999998</v>
      </c>
      <c r="G150" s="39">
        <v>51.356103267457783</v>
      </c>
    </row>
    <row r="151" spans="1:7" ht="11.25" customHeight="1" x14ac:dyDescent="0.2">
      <c r="A151" s="49">
        <v>44470</v>
      </c>
      <c r="B151" s="39">
        <v>0</v>
      </c>
      <c r="C151" s="39">
        <v>47.372243999999995</v>
      </c>
      <c r="D151" s="39">
        <v>0</v>
      </c>
      <c r="E151" s="39">
        <v>49.615218410933792</v>
      </c>
      <c r="F151" s="39">
        <v>47.372243999999995</v>
      </c>
      <c r="G151" s="39">
        <v>49.615218410933792</v>
      </c>
    </row>
    <row r="152" spans="1:7" ht="11.25" customHeight="1" x14ac:dyDescent="0.2">
      <c r="A152" s="49">
        <v>44501</v>
      </c>
      <c r="B152" s="39">
        <v>0</v>
      </c>
      <c r="C152" s="39">
        <v>70.227273999999994</v>
      </c>
      <c r="D152" s="39">
        <v>0</v>
      </c>
      <c r="E152" s="39">
        <v>73.5523851881387</v>
      </c>
      <c r="F152" s="39">
        <v>70.227273999999994</v>
      </c>
      <c r="G152" s="39">
        <v>73.5523851881387</v>
      </c>
    </row>
    <row r="153" spans="1:7" ht="11.25" customHeight="1" x14ac:dyDescent="0.2">
      <c r="A153" s="49">
        <v>44531</v>
      </c>
      <c r="B153" s="39">
        <v>0</v>
      </c>
      <c r="C153" s="39">
        <v>329.52797799999996</v>
      </c>
      <c r="D153" s="39">
        <v>0</v>
      </c>
      <c r="E153" s="39">
        <v>345.13042280588155</v>
      </c>
      <c r="F153" s="39">
        <v>329.52797799999996</v>
      </c>
      <c r="G153" s="39">
        <v>345.13042280588155</v>
      </c>
    </row>
    <row r="154" spans="1:7" ht="11.25" customHeight="1" x14ac:dyDescent="0.2">
      <c r="A154" s="49">
        <v>44562</v>
      </c>
      <c r="B154" s="39">
        <v>0</v>
      </c>
      <c r="C154" s="39">
        <v>766.68236999999988</v>
      </c>
      <c r="D154" s="39">
        <v>0</v>
      </c>
      <c r="E154" s="39">
        <v>802.98314007169154</v>
      </c>
      <c r="F154" s="39">
        <v>766.68236999999988</v>
      </c>
      <c r="G154" s="39">
        <v>802.98314007169154</v>
      </c>
    </row>
    <row r="155" spans="1:7" ht="11.25" customHeight="1" x14ac:dyDescent="0.2">
      <c r="A155" s="49">
        <v>44593</v>
      </c>
      <c r="B155" s="39">
        <v>0</v>
      </c>
      <c r="C155" s="39">
        <v>746.73616199999981</v>
      </c>
      <c r="D155" s="39">
        <v>0</v>
      </c>
      <c r="E155" s="39">
        <v>782.09252179340353</v>
      </c>
      <c r="F155" s="39">
        <v>746.73616199999981</v>
      </c>
      <c r="G155" s="39">
        <v>782.09252179340353</v>
      </c>
    </row>
    <row r="156" spans="1:7" ht="11.25" customHeight="1" x14ac:dyDescent="0.2">
      <c r="A156" s="49">
        <v>44621</v>
      </c>
      <c r="B156" s="39">
        <v>0</v>
      </c>
      <c r="C156" s="39">
        <v>1077.9263239999998</v>
      </c>
      <c r="D156" s="39">
        <v>0</v>
      </c>
      <c r="E156" s="39">
        <v>1128.963829455809</v>
      </c>
      <c r="F156" s="39">
        <v>1077.9263239999998</v>
      </c>
      <c r="G156" s="39">
        <v>1128.963829455809</v>
      </c>
    </row>
    <row r="157" spans="1:7" ht="11.25" customHeight="1" x14ac:dyDescent="0.2">
      <c r="A157" s="49">
        <v>44652</v>
      </c>
      <c r="B157" s="39">
        <v>0</v>
      </c>
      <c r="C157" s="39">
        <v>1370.0551620000001</v>
      </c>
      <c r="D157" s="39">
        <v>0</v>
      </c>
      <c r="E157" s="39">
        <v>1434.9243429899011</v>
      </c>
      <c r="F157" s="39">
        <v>1370.0551620000001</v>
      </c>
      <c r="G157" s="39">
        <v>1434.9243429899011</v>
      </c>
    </row>
    <row r="158" spans="1:7" ht="11.25" customHeight="1" x14ac:dyDescent="0.2">
      <c r="A158" s="49">
        <v>44682</v>
      </c>
      <c r="B158" s="39">
        <v>0</v>
      </c>
      <c r="C158" s="39">
        <v>1226.2762459999999</v>
      </c>
      <c r="D158" s="39">
        <v>0</v>
      </c>
      <c r="E158" s="39">
        <v>1284.3378029005755</v>
      </c>
      <c r="F158" s="39">
        <v>1226.2762459999999</v>
      </c>
      <c r="G158" s="39">
        <v>1284.3378029005755</v>
      </c>
    </row>
    <row r="159" spans="1:7" ht="11.25" customHeight="1" x14ac:dyDescent="0.2">
      <c r="A159" s="49">
        <v>44713</v>
      </c>
      <c r="B159" s="39">
        <v>0</v>
      </c>
      <c r="C159" s="39">
        <v>1326.0072859999998</v>
      </c>
      <c r="D159" s="39">
        <v>0</v>
      </c>
      <c r="E159" s="39">
        <v>1388.7908942920149</v>
      </c>
      <c r="F159" s="39">
        <v>1326.0072859999998</v>
      </c>
      <c r="G159" s="39">
        <v>1388.7908942920149</v>
      </c>
    </row>
    <row r="160" spans="1:7" ht="11.25" customHeight="1" x14ac:dyDescent="0.2">
      <c r="A160" s="49">
        <v>44743</v>
      </c>
      <c r="B160" s="39">
        <v>0</v>
      </c>
      <c r="C160" s="39">
        <v>1055.0712939999999</v>
      </c>
      <c r="D160" s="39">
        <v>0</v>
      </c>
      <c r="E160" s="39">
        <v>1105.0266626786045</v>
      </c>
      <c r="F160" s="39">
        <v>1055.0712939999999</v>
      </c>
      <c r="G160" s="39">
        <v>1105.0266626786045</v>
      </c>
    </row>
    <row r="161" spans="1:7" ht="11.25" customHeight="1" x14ac:dyDescent="0.2">
      <c r="A161" s="49">
        <v>44774</v>
      </c>
      <c r="B161" s="39">
        <v>0</v>
      </c>
      <c r="C161" s="39">
        <v>1297.7501580000001</v>
      </c>
      <c r="D161" s="39">
        <v>0</v>
      </c>
      <c r="E161" s="39">
        <v>1359.1958517311073</v>
      </c>
      <c r="F161" s="39">
        <v>1297.7501580000001</v>
      </c>
      <c r="G161" s="39">
        <v>1359.1958517311073</v>
      </c>
    </row>
    <row r="162" spans="1:7" ht="11.25" customHeight="1" x14ac:dyDescent="0.2">
      <c r="A162" s="41" t="s">
        <v>551</v>
      </c>
      <c r="B162" s="39">
        <v>0</v>
      </c>
      <c r="C162" s="39">
        <v>250919.22959999996</v>
      </c>
      <c r="D162" s="39">
        <v>0</v>
      </c>
      <c r="E162" s="39">
        <v>136441.22290716332</v>
      </c>
      <c r="F162" s="39">
        <v>250919.22959999993</v>
      </c>
      <c r="G162" s="39">
        <v>136441.22290716335</v>
      </c>
    </row>
    <row r="163" spans="1:7" ht="11.25" customHeight="1" x14ac:dyDescent="0.2">
      <c r="A163" s="42" t="s">
        <v>40</v>
      </c>
      <c r="B163" s="39">
        <v>0</v>
      </c>
      <c r="C163" s="39">
        <v>250919.22959999996</v>
      </c>
      <c r="D163" s="39">
        <v>0</v>
      </c>
      <c r="E163" s="39">
        <v>136441.22290716332</v>
      </c>
      <c r="F163" s="39">
        <v>250919.22959999993</v>
      </c>
      <c r="G163" s="39">
        <v>136441.22290716335</v>
      </c>
    </row>
    <row r="164" spans="1:7" ht="11.25" customHeight="1" x14ac:dyDescent="0.2">
      <c r="A164" s="43" t="s">
        <v>23</v>
      </c>
      <c r="B164" s="39">
        <v>0</v>
      </c>
      <c r="C164" s="39">
        <v>250919.22959999996</v>
      </c>
      <c r="D164" s="39">
        <v>0</v>
      </c>
      <c r="E164" s="39">
        <v>136441.22290716332</v>
      </c>
      <c r="F164" s="39">
        <v>250919.22959999993</v>
      </c>
      <c r="G164" s="39">
        <v>136441.22290716335</v>
      </c>
    </row>
    <row r="165" spans="1:7" ht="11.25" customHeight="1" x14ac:dyDescent="0.2">
      <c r="A165" s="44" t="s">
        <v>41</v>
      </c>
      <c r="B165" s="39">
        <v>0</v>
      </c>
      <c r="C165" s="39">
        <v>250919.22959999996</v>
      </c>
      <c r="D165" s="39">
        <v>0</v>
      </c>
      <c r="E165" s="39">
        <v>136441.22290716332</v>
      </c>
      <c r="F165" s="39">
        <v>250919.22959999993</v>
      </c>
      <c r="G165" s="39">
        <v>136441.22290716335</v>
      </c>
    </row>
    <row r="166" spans="1:7" ht="11.25" customHeight="1" x14ac:dyDescent="0.2">
      <c r="A166" s="45" t="s">
        <v>53</v>
      </c>
      <c r="B166" s="39">
        <v>0</v>
      </c>
      <c r="C166" s="39">
        <v>256.66159999999991</v>
      </c>
      <c r="D166" s="39">
        <v>0</v>
      </c>
      <c r="E166" s="39">
        <v>139.56372587758491</v>
      </c>
      <c r="F166" s="39">
        <v>256.66159999999991</v>
      </c>
      <c r="G166" s="39">
        <v>139.56372587758491</v>
      </c>
    </row>
    <row r="167" spans="1:7" ht="11.25" customHeight="1" x14ac:dyDescent="0.2">
      <c r="A167" s="46" t="s">
        <v>51</v>
      </c>
      <c r="B167" s="39">
        <v>0</v>
      </c>
      <c r="C167" s="39">
        <v>256.66159999999991</v>
      </c>
      <c r="D167" s="39">
        <v>0</v>
      </c>
      <c r="E167" s="39">
        <v>139.56372587758491</v>
      </c>
      <c r="F167" s="39">
        <v>256.66159999999991</v>
      </c>
      <c r="G167" s="39">
        <v>139.56372587758491</v>
      </c>
    </row>
    <row r="168" spans="1:7" ht="11.25" customHeight="1" x14ac:dyDescent="0.2">
      <c r="A168" s="47" t="s">
        <v>25</v>
      </c>
      <c r="B168" s="39">
        <v>0</v>
      </c>
      <c r="C168" s="39">
        <v>256.66159999999991</v>
      </c>
      <c r="D168" s="39">
        <v>0</v>
      </c>
      <c r="E168" s="39">
        <v>139.56372587758491</v>
      </c>
      <c r="F168" s="39">
        <v>256.66159999999991</v>
      </c>
      <c r="G168" s="39">
        <v>139.56372587758491</v>
      </c>
    </row>
    <row r="169" spans="1:7" ht="11.25" customHeight="1" x14ac:dyDescent="0.2">
      <c r="A169" s="48" t="s">
        <v>25</v>
      </c>
      <c r="B169" s="39">
        <v>0</v>
      </c>
      <c r="C169" s="39">
        <v>256.66159999999991</v>
      </c>
      <c r="D169" s="39">
        <v>0</v>
      </c>
      <c r="E169" s="39">
        <v>139.56372587758491</v>
      </c>
      <c r="F169" s="39">
        <v>256.66159999999991</v>
      </c>
      <c r="G169" s="39">
        <v>139.56372587758491</v>
      </c>
    </row>
    <row r="170" spans="1:7" ht="11.25" customHeight="1" x14ac:dyDescent="0.2">
      <c r="A170" s="49">
        <v>44531</v>
      </c>
      <c r="B170" s="39">
        <v>0</v>
      </c>
      <c r="C170" s="39">
        <v>80.269279999999966</v>
      </c>
      <c r="D170" s="39">
        <v>0</v>
      </c>
      <c r="E170" s="39">
        <v>43.64766599409927</v>
      </c>
      <c r="F170" s="39">
        <v>80.269279999999966</v>
      </c>
      <c r="G170" s="39">
        <v>43.64766599409927</v>
      </c>
    </row>
    <row r="171" spans="1:7" ht="11.25" customHeight="1" x14ac:dyDescent="0.2">
      <c r="A171" s="49">
        <v>44562</v>
      </c>
      <c r="B171" s="39">
        <v>0</v>
      </c>
      <c r="C171" s="39">
        <v>90.889759999999981</v>
      </c>
      <c r="D171" s="39">
        <v>0</v>
      </c>
      <c r="E171" s="39">
        <v>49.422716720068308</v>
      </c>
      <c r="F171" s="39">
        <v>90.889759999999981</v>
      </c>
      <c r="G171" s="39">
        <v>49.422716720068308</v>
      </c>
    </row>
    <row r="172" spans="1:7" ht="11.25" customHeight="1" x14ac:dyDescent="0.2">
      <c r="A172" s="49">
        <v>44593</v>
      </c>
      <c r="B172" s="39">
        <v>0</v>
      </c>
      <c r="C172" s="39">
        <v>69.263999999999982</v>
      </c>
      <c r="D172" s="39">
        <v>0</v>
      </c>
      <c r="E172" s="39">
        <v>37.663374299798029</v>
      </c>
      <c r="F172" s="39">
        <v>69.263999999999982</v>
      </c>
      <c r="G172" s="39">
        <v>37.663374299798029</v>
      </c>
    </row>
    <row r="173" spans="1:7" ht="11.25" customHeight="1" x14ac:dyDescent="0.2">
      <c r="A173" s="49">
        <v>44621</v>
      </c>
      <c r="B173" s="39">
        <v>0</v>
      </c>
      <c r="C173" s="39">
        <v>8.5425599999999982</v>
      </c>
      <c r="D173" s="39">
        <v>0</v>
      </c>
      <c r="E173" s="39">
        <v>4.6451494969750904</v>
      </c>
      <c r="F173" s="39">
        <v>8.5425599999999982</v>
      </c>
      <c r="G173" s="39">
        <v>4.6451494969750904</v>
      </c>
    </row>
    <row r="174" spans="1:7" ht="11.25" customHeight="1" x14ac:dyDescent="0.2">
      <c r="A174" s="49">
        <v>44652</v>
      </c>
      <c r="B174" s="39">
        <v>0</v>
      </c>
      <c r="C174" s="39">
        <v>7.695999999999998</v>
      </c>
      <c r="D174" s="39">
        <v>0</v>
      </c>
      <c r="E174" s="39">
        <v>4.1848193666442262</v>
      </c>
      <c r="F174" s="39">
        <v>7.695999999999998</v>
      </c>
      <c r="G174" s="39">
        <v>4.1848193666442262</v>
      </c>
    </row>
    <row r="175" spans="1:7" ht="11.25" customHeight="1" x14ac:dyDescent="0.2">
      <c r="A175" s="45" t="s">
        <v>50</v>
      </c>
      <c r="B175" s="39">
        <v>0</v>
      </c>
      <c r="C175" s="39">
        <v>636.92095999999981</v>
      </c>
      <c r="D175" s="39">
        <v>0</v>
      </c>
      <c r="E175" s="39">
        <v>346.33565078347613</v>
      </c>
      <c r="F175" s="39">
        <v>636.92095999999981</v>
      </c>
      <c r="G175" s="39">
        <v>346.33565078347613</v>
      </c>
    </row>
    <row r="176" spans="1:7" ht="11.25" customHeight="1" x14ac:dyDescent="0.2">
      <c r="A176" s="46" t="s">
        <v>51</v>
      </c>
      <c r="B176" s="39">
        <v>0</v>
      </c>
      <c r="C176" s="39">
        <v>636.92095999999981</v>
      </c>
      <c r="D176" s="39">
        <v>0</v>
      </c>
      <c r="E176" s="39">
        <v>346.33565078347613</v>
      </c>
      <c r="F176" s="39">
        <v>636.92095999999981</v>
      </c>
      <c r="G176" s="39">
        <v>346.33565078347613</v>
      </c>
    </row>
    <row r="177" spans="1:7" ht="11.25" customHeight="1" x14ac:dyDescent="0.2">
      <c r="A177" s="47" t="s">
        <v>25</v>
      </c>
      <c r="B177" s="39">
        <v>0</v>
      </c>
      <c r="C177" s="39">
        <v>636.92095999999981</v>
      </c>
      <c r="D177" s="39">
        <v>0</v>
      </c>
      <c r="E177" s="39">
        <v>346.33565078347613</v>
      </c>
      <c r="F177" s="39">
        <v>636.92095999999981</v>
      </c>
      <c r="G177" s="39">
        <v>346.33565078347613</v>
      </c>
    </row>
    <row r="178" spans="1:7" ht="11.25" customHeight="1" x14ac:dyDescent="0.2">
      <c r="A178" s="48" t="s">
        <v>25</v>
      </c>
      <c r="B178" s="39">
        <v>0</v>
      </c>
      <c r="C178" s="39">
        <v>636.92095999999981</v>
      </c>
      <c r="D178" s="39">
        <v>0</v>
      </c>
      <c r="E178" s="39">
        <v>346.33565078347613</v>
      </c>
      <c r="F178" s="39">
        <v>636.92095999999981</v>
      </c>
      <c r="G178" s="39">
        <v>346.33565078347613</v>
      </c>
    </row>
    <row r="179" spans="1:7" ht="11.25" customHeight="1" x14ac:dyDescent="0.2">
      <c r="A179" s="49">
        <v>44440</v>
      </c>
      <c r="B179" s="39">
        <v>0</v>
      </c>
      <c r="C179" s="39">
        <v>7.7729599999999985</v>
      </c>
      <c r="D179" s="39">
        <v>0</v>
      </c>
      <c r="E179" s="39">
        <v>4.226667560310668</v>
      </c>
      <c r="F179" s="39">
        <v>7.7729599999999985</v>
      </c>
      <c r="G179" s="39">
        <v>4.226667560310668</v>
      </c>
    </row>
    <row r="180" spans="1:7" ht="11.25" customHeight="1" x14ac:dyDescent="0.2">
      <c r="A180" s="49">
        <v>44470</v>
      </c>
      <c r="B180" s="39">
        <v>0</v>
      </c>
      <c r="C180" s="39">
        <v>6.7724799999999981</v>
      </c>
      <c r="D180" s="39">
        <v>0</v>
      </c>
      <c r="E180" s="39">
        <v>3.6826410426469183</v>
      </c>
      <c r="F180" s="39">
        <v>6.7724799999999981</v>
      </c>
      <c r="G180" s="39">
        <v>3.6826410426469183</v>
      </c>
    </row>
    <row r="181" spans="1:7" ht="11.25" customHeight="1" x14ac:dyDescent="0.2">
      <c r="A181" s="49">
        <v>44501</v>
      </c>
      <c r="B181" s="39">
        <v>0</v>
      </c>
      <c r="C181" s="39">
        <v>9.5430399999999977</v>
      </c>
      <c r="D181" s="39">
        <v>0</v>
      </c>
      <c r="E181" s="39">
        <v>5.1891760146388402</v>
      </c>
      <c r="F181" s="39">
        <v>9.5430399999999977</v>
      </c>
      <c r="G181" s="39">
        <v>5.1891760146388402</v>
      </c>
    </row>
    <row r="182" spans="1:7" ht="11.25" customHeight="1" x14ac:dyDescent="0.2">
      <c r="A182" s="49">
        <v>44531</v>
      </c>
      <c r="B182" s="39">
        <v>0</v>
      </c>
      <c r="C182" s="39">
        <v>38.32607999999999</v>
      </c>
      <c r="D182" s="39">
        <v>0</v>
      </c>
      <c r="E182" s="39">
        <v>20.840400445888243</v>
      </c>
      <c r="F182" s="39">
        <v>38.32607999999999</v>
      </c>
      <c r="G182" s="39">
        <v>20.840400445888243</v>
      </c>
    </row>
    <row r="183" spans="1:7" ht="11.25" customHeight="1" x14ac:dyDescent="0.2">
      <c r="A183" s="49">
        <v>44562</v>
      </c>
      <c r="B183" s="39">
        <v>0</v>
      </c>
      <c r="C183" s="39">
        <v>45.560319999999983</v>
      </c>
      <c r="D183" s="39">
        <v>0</v>
      </c>
      <c r="E183" s="39">
        <v>24.774130650533813</v>
      </c>
      <c r="F183" s="39">
        <v>45.560319999999983</v>
      </c>
      <c r="G183" s="39">
        <v>24.774130650533813</v>
      </c>
    </row>
    <row r="184" spans="1:7" ht="11.25" customHeight="1" x14ac:dyDescent="0.2">
      <c r="A184" s="49">
        <v>44593</v>
      </c>
      <c r="B184" s="39">
        <v>0</v>
      </c>
      <c r="C184" s="39">
        <v>55.949919999999985</v>
      </c>
      <c r="D184" s="39">
        <v>0</v>
      </c>
      <c r="E184" s="39">
        <v>30.423636795503519</v>
      </c>
      <c r="F184" s="39">
        <v>55.949919999999985</v>
      </c>
      <c r="G184" s="39">
        <v>30.423636795503519</v>
      </c>
    </row>
    <row r="185" spans="1:7" ht="11.25" customHeight="1" x14ac:dyDescent="0.2">
      <c r="A185" s="49">
        <v>44621</v>
      </c>
      <c r="B185" s="39">
        <v>0</v>
      </c>
      <c r="C185" s="39">
        <v>73.958559999999977</v>
      </c>
      <c r="D185" s="39">
        <v>0</v>
      </c>
      <c r="E185" s="39">
        <v>40.216114113451006</v>
      </c>
      <c r="F185" s="39">
        <v>73.958559999999977</v>
      </c>
      <c r="G185" s="39">
        <v>40.216114113451006</v>
      </c>
    </row>
    <row r="186" spans="1:7" ht="11.25" customHeight="1" x14ac:dyDescent="0.2">
      <c r="A186" s="49">
        <v>44652</v>
      </c>
      <c r="B186" s="39">
        <v>0</v>
      </c>
      <c r="C186" s="39">
        <v>71.341919999999988</v>
      </c>
      <c r="D186" s="39">
        <v>0</v>
      </c>
      <c r="E186" s="39">
        <v>38.793275528791973</v>
      </c>
      <c r="F186" s="39">
        <v>71.341919999999988</v>
      </c>
      <c r="G186" s="39">
        <v>38.793275528791973</v>
      </c>
    </row>
    <row r="187" spans="1:7" ht="11.25" customHeight="1" x14ac:dyDescent="0.2">
      <c r="A187" s="49">
        <v>44682</v>
      </c>
      <c r="B187" s="39">
        <v>0</v>
      </c>
      <c r="C187" s="39">
        <v>78.960959999999986</v>
      </c>
      <c r="D187" s="39">
        <v>0</v>
      </c>
      <c r="E187" s="39">
        <v>42.936246701769754</v>
      </c>
      <c r="F187" s="39">
        <v>78.960959999999986</v>
      </c>
      <c r="G187" s="39">
        <v>42.936246701769754</v>
      </c>
    </row>
    <row r="188" spans="1:7" ht="11.25" customHeight="1" x14ac:dyDescent="0.2">
      <c r="A188" s="49">
        <v>44713</v>
      </c>
      <c r="B188" s="39">
        <v>0</v>
      </c>
      <c r="C188" s="39">
        <v>80.961919999999978</v>
      </c>
      <c r="D188" s="39">
        <v>0</v>
      </c>
      <c r="E188" s="39">
        <v>44.024299737097259</v>
      </c>
      <c r="F188" s="39">
        <v>80.961919999999978</v>
      </c>
      <c r="G188" s="39">
        <v>44.024299737097259</v>
      </c>
    </row>
    <row r="189" spans="1:7" ht="11.25" customHeight="1" x14ac:dyDescent="0.2">
      <c r="A189" s="49">
        <v>44743</v>
      </c>
      <c r="B189" s="39">
        <v>0</v>
      </c>
      <c r="C189" s="39">
        <v>66.493439999999978</v>
      </c>
      <c r="D189" s="39">
        <v>0</v>
      </c>
      <c r="E189" s="39">
        <v>36.156839327806111</v>
      </c>
      <c r="F189" s="39">
        <v>66.493439999999978</v>
      </c>
      <c r="G189" s="39">
        <v>36.156839327806111</v>
      </c>
    </row>
    <row r="190" spans="1:7" ht="11.25" customHeight="1" x14ac:dyDescent="0.2">
      <c r="A190" s="49">
        <v>44774</v>
      </c>
      <c r="B190" s="39">
        <v>0</v>
      </c>
      <c r="C190" s="39">
        <v>101.27935999999998</v>
      </c>
      <c r="D190" s="39">
        <v>0</v>
      </c>
      <c r="E190" s="39">
        <v>55.072222865038015</v>
      </c>
      <c r="F190" s="39">
        <v>101.27935999999998</v>
      </c>
      <c r="G190" s="39">
        <v>55.072222865038015</v>
      </c>
    </row>
    <row r="191" spans="1:7" ht="11.25" customHeight="1" x14ac:dyDescent="0.2">
      <c r="A191" s="45" t="s">
        <v>25</v>
      </c>
      <c r="B191" s="39">
        <v>0</v>
      </c>
      <c r="C191" s="39">
        <v>250025.64703999995</v>
      </c>
      <c r="D191" s="39">
        <v>0</v>
      </c>
      <c r="E191" s="39">
        <v>135955.32353050227</v>
      </c>
      <c r="F191" s="39">
        <v>250025.64703999995</v>
      </c>
      <c r="G191" s="39">
        <v>135955.3235305023</v>
      </c>
    </row>
    <row r="192" spans="1:7" ht="11.25" customHeight="1" x14ac:dyDescent="0.2">
      <c r="A192" s="46" t="s">
        <v>25</v>
      </c>
      <c r="B192" s="39">
        <v>0</v>
      </c>
      <c r="C192" s="39">
        <v>250025.64703999995</v>
      </c>
      <c r="D192" s="39">
        <v>0</v>
      </c>
      <c r="E192" s="39">
        <v>135955.32353050227</v>
      </c>
      <c r="F192" s="39">
        <v>250025.64703999995</v>
      </c>
      <c r="G192" s="39">
        <v>135955.3235305023</v>
      </c>
    </row>
    <row r="193" spans="1:7" ht="11.25" customHeight="1" x14ac:dyDescent="0.2">
      <c r="A193" s="47" t="s">
        <v>25</v>
      </c>
      <c r="B193" s="39">
        <v>0</v>
      </c>
      <c r="C193" s="39">
        <v>250025.64703999995</v>
      </c>
      <c r="D193" s="39">
        <v>0</v>
      </c>
      <c r="E193" s="39">
        <v>135955.32353050227</v>
      </c>
      <c r="F193" s="39">
        <v>250025.64703999995</v>
      </c>
      <c r="G193" s="39">
        <v>135955.3235305023</v>
      </c>
    </row>
    <row r="194" spans="1:7" ht="11.25" customHeight="1" x14ac:dyDescent="0.2">
      <c r="A194" s="48" t="s">
        <v>25</v>
      </c>
      <c r="B194" s="39">
        <v>0</v>
      </c>
      <c r="C194" s="39">
        <v>250025.64703999995</v>
      </c>
      <c r="D194" s="39">
        <v>0</v>
      </c>
      <c r="E194" s="39">
        <v>135955.32353050227</v>
      </c>
      <c r="F194" s="39">
        <v>250025.64703999995</v>
      </c>
      <c r="G194" s="39">
        <v>135955.3235305023</v>
      </c>
    </row>
    <row r="195" spans="1:7" ht="11.25" customHeight="1" x14ac:dyDescent="0.2">
      <c r="A195" s="49">
        <v>44440</v>
      </c>
      <c r="B195" s="39">
        <v>0</v>
      </c>
      <c r="C195" s="39">
        <v>21438.824159999993</v>
      </c>
      <c r="D195" s="39">
        <v>0</v>
      </c>
      <c r="E195" s="39">
        <v>11657.693157854485</v>
      </c>
      <c r="F195" s="39">
        <v>21438.824159999993</v>
      </c>
      <c r="G195" s="39">
        <v>11657.693157854485</v>
      </c>
    </row>
    <row r="196" spans="1:7" ht="11.25" customHeight="1" x14ac:dyDescent="0.2">
      <c r="A196" s="49">
        <v>44470</v>
      </c>
      <c r="B196" s="39">
        <v>0</v>
      </c>
      <c r="C196" s="39">
        <v>18394.209599999995</v>
      </c>
      <c r="D196" s="39">
        <v>0</v>
      </c>
      <c r="E196" s="39">
        <v>10002.136768216364</v>
      </c>
      <c r="F196" s="39">
        <v>18394.209599999995</v>
      </c>
      <c r="G196" s="39">
        <v>10002.136768216364</v>
      </c>
    </row>
    <row r="197" spans="1:7" ht="11.25" customHeight="1" x14ac:dyDescent="0.2">
      <c r="A197" s="49">
        <v>44501</v>
      </c>
      <c r="B197" s="39">
        <v>0</v>
      </c>
      <c r="C197" s="39">
        <v>20785.818559999992</v>
      </c>
      <c r="D197" s="39">
        <v>0</v>
      </c>
      <c r="E197" s="39">
        <v>11302.611234594724</v>
      </c>
      <c r="F197" s="39">
        <v>20785.818559999992</v>
      </c>
      <c r="G197" s="39">
        <v>11302.611234594724</v>
      </c>
    </row>
    <row r="198" spans="1:7" ht="11.25" customHeight="1" x14ac:dyDescent="0.2">
      <c r="A198" s="49">
        <v>44531</v>
      </c>
      <c r="B198" s="39">
        <v>0</v>
      </c>
      <c r="C198" s="39">
        <v>24004.131839999991</v>
      </c>
      <c r="D198" s="39">
        <v>0</v>
      </c>
      <c r="E198" s="39">
        <v>13052.618997338004</v>
      </c>
      <c r="F198" s="39">
        <v>24004.131839999991</v>
      </c>
      <c r="G198" s="39">
        <v>13052.618997338004</v>
      </c>
    </row>
    <row r="199" spans="1:7" ht="11.25" customHeight="1" x14ac:dyDescent="0.2">
      <c r="A199" s="49">
        <v>44562</v>
      </c>
      <c r="B199" s="39">
        <v>0</v>
      </c>
      <c r="C199" s="39">
        <v>26163.552479999995</v>
      </c>
      <c r="D199" s="39">
        <v>0</v>
      </c>
      <c r="E199" s="39">
        <v>14226.83746342471</v>
      </c>
      <c r="F199" s="39">
        <v>26163.552479999995</v>
      </c>
      <c r="G199" s="39">
        <v>14226.83746342471</v>
      </c>
    </row>
    <row r="200" spans="1:7" ht="11.25" customHeight="1" x14ac:dyDescent="0.2">
      <c r="A200" s="49">
        <v>44593</v>
      </c>
      <c r="B200" s="39">
        <v>0</v>
      </c>
      <c r="C200" s="39">
        <v>21399.651519999992</v>
      </c>
      <c r="D200" s="39">
        <v>0</v>
      </c>
      <c r="E200" s="39">
        <v>11636.392427278266</v>
      </c>
      <c r="F200" s="39">
        <v>21399.651519999992</v>
      </c>
      <c r="G200" s="39">
        <v>11636.392427278266</v>
      </c>
    </row>
    <row r="201" spans="1:7" ht="11.25" customHeight="1" x14ac:dyDescent="0.2">
      <c r="A201" s="49">
        <v>44621</v>
      </c>
      <c r="B201" s="39">
        <v>0</v>
      </c>
      <c r="C201" s="39">
        <v>20810.753599999996</v>
      </c>
      <c r="D201" s="39">
        <v>0</v>
      </c>
      <c r="E201" s="39">
        <v>11316.170049342651</v>
      </c>
      <c r="F201" s="39">
        <v>20810.753599999996</v>
      </c>
      <c r="G201" s="39">
        <v>11316.170049342651</v>
      </c>
    </row>
    <row r="202" spans="1:7" ht="11.25" customHeight="1" x14ac:dyDescent="0.2">
      <c r="A202" s="49">
        <v>44652</v>
      </c>
      <c r="B202" s="39">
        <v>0</v>
      </c>
      <c r="C202" s="39">
        <v>20375.467839999998</v>
      </c>
      <c r="D202" s="39">
        <v>0</v>
      </c>
      <c r="E202" s="39">
        <v>11079.476665965254</v>
      </c>
      <c r="F202" s="39">
        <v>20375.467839999998</v>
      </c>
      <c r="G202" s="39">
        <v>11079.476665965254</v>
      </c>
    </row>
    <row r="203" spans="1:7" ht="11.25" customHeight="1" x14ac:dyDescent="0.2">
      <c r="A203" s="49">
        <v>44682</v>
      </c>
      <c r="B203" s="39">
        <v>0</v>
      </c>
      <c r="C203" s="39">
        <v>18274.844639999996</v>
      </c>
      <c r="D203" s="39">
        <v>0</v>
      </c>
      <c r="E203" s="39">
        <v>9937.2302198397119</v>
      </c>
      <c r="F203" s="39">
        <v>18274.844639999996</v>
      </c>
      <c r="G203" s="39">
        <v>9937.2302198397119</v>
      </c>
    </row>
    <row r="204" spans="1:7" ht="11.25" customHeight="1" x14ac:dyDescent="0.2">
      <c r="A204" s="49">
        <v>44713</v>
      </c>
      <c r="B204" s="39">
        <v>0</v>
      </c>
      <c r="C204" s="39">
        <v>21200.786879999992</v>
      </c>
      <c r="D204" s="39">
        <v>0</v>
      </c>
      <c r="E204" s="39">
        <v>11528.25669484418</v>
      </c>
      <c r="F204" s="39">
        <v>21200.786879999992</v>
      </c>
      <c r="G204" s="39">
        <v>11528.25669484418</v>
      </c>
    </row>
    <row r="205" spans="1:7" ht="11.25" customHeight="1" x14ac:dyDescent="0.2">
      <c r="A205" s="49">
        <v>44743</v>
      </c>
      <c r="B205" s="39">
        <v>0</v>
      </c>
      <c r="C205" s="39">
        <v>17735.739839999995</v>
      </c>
      <c r="D205" s="39">
        <v>0</v>
      </c>
      <c r="E205" s="39">
        <v>9644.0836232062829</v>
      </c>
      <c r="F205" s="39">
        <v>17735.739839999995</v>
      </c>
      <c r="G205" s="39">
        <v>9644.0836232062829</v>
      </c>
    </row>
    <row r="206" spans="1:7" ht="11.25" customHeight="1" x14ac:dyDescent="0.2">
      <c r="A206" s="49">
        <v>44774</v>
      </c>
      <c r="B206" s="39">
        <v>0</v>
      </c>
      <c r="C206" s="39">
        <v>19441.866079999996</v>
      </c>
      <c r="D206" s="39">
        <v>0</v>
      </c>
      <c r="E206" s="39">
        <v>10571.816228597641</v>
      </c>
      <c r="F206" s="39">
        <v>19441.866079999996</v>
      </c>
      <c r="G206" s="39">
        <v>10571.816228597641</v>
      </c>
    </row>
    <row r="207" spans="1:7" ht="11.25" customHeight="1" x14ac:dyDescent="0.2">
      <c r="A207" s="41" t="s">
        <v>559</v>
      </c>
      <c r="B207" s="39">
        <v>0</v>
      </c>
      <c r="C207" s="39">
        <v>0</v>
      </c>
      <c r="D207" s="39">
        <v>0</v>
      </c>
      <c r="E207" s="39">
        <v>0</v>
      </c>
      <c r="F207" s="39">
        <v>0</v>
      </c>
      <c r="G207" s="39">
        <v>0</v>
      </c>
    </row>
    <row r="208" spans="1:7" ht="11.25" customHeight="1" x14ac:dyDescent="0.2">
      <c r="A208" s="42" t="s">
        <v>22</v>
      </c>
      <c r="B208" s="39">
        <v>0</v>
      </c>
      <c r="C208" s="39">
        <v>0</v>
      </c>
      <c r="D208" s="39">
        <v>0</v>
      </c>
      <c r="E208" s="39">
        <v>0</v>
      </c>
      <c r="F208" s="39">
        <v>0</v>
      </c>
      <c r="G208" s="39">
        <v>0</v>
      </c>
    </row>
    <row r="209" spans="1:7" ht="11.25" customHeight="1" x14ac:dyDescent="0.2">
      <c r="A209" s="43" t="s">
        <v>23</v>
      </c>
      <c r="B209" s="39">
        <v>0</v>
      </c>
      <c r="C209" s="39">
        <v>0</v>
      </c>
      <c r="D209" s="39">
        <v>0</v>
      </c>
      <c r="E209" s="39">
        <v>0</v>
      </c>
      <c r="F209" s="39">
        <v>0</v>
      </c>
      <c r="G209" s="39">
        <v>0</v>
      </c>
    </row>
    <row r="210" spans="1:7" ht="11.25" customHeight="1" x14ac:dyDescent="0.2">
      <c r="A210" s="44" t="s">
        <v>24</v>
      </c>
      <c r="B210" s="39">
        <v>0</v>
      </c>
      <c r="C210" s="39">
        <v>0</v>
      </c>
      <c r="D210" s="39">
        <v>0</v>
      </c>
      <c r="E210" s="39">
        <v>0</v>
      </c>
      <c r="F210" s="39">
        <v>0</v>
      </c>
      <c r="G210" s="39">
        <v>0</v>
      </c>
    </row>
    <row r="211" spans="1:7" ht="11.25" customHeight="1" x14ac:dyDescent="0.2">
      <c r="A211" s="45" t="s">
        <v>24</v>
      </c>
      <c r="B211" s="39">
        <v>0</v>
      </c>
      <c r="C211" s="39">
        <v>0</v>
      </c>
      <c r="D211" s="39">
        <v>0</v>
      </c>
      <c r="E211" s="39">
        <v>0</v>
      </c>
      <c r="F211" s="39">
        <v>0</v>
      </c>
      <c r="G211" s="39">
        <v>0</v>
      </c>
    </row>
    <row r="212" spans="1:7" ht="11.25" customHeight="1" x14ac:dyDescent="0.2">
      <c r="A212" s="46" t="s">
        <v>25</v>
      </c>
      <c r="B212" s="39">
        <v>0</v>
      </c>
      <c r="C212" s="39">
        <v>0</v>
      </c>
      <c r="D212" s="39">
        <v>0</v>
      </c>
      <c r="E212" s="39">
        <v>0</v>
      </c>
      <c r="F212" s="39">
        <v>0</v>
      </c>
      <c r="G212" s="39">
        <v>0</v>
      </c>
    </row>
    <row r="213" spans="1:7" ht="11.25" customHeight="1" x14ac:dyDescent="0.2">
      <c r="A213" s="47" t="s">
        <v>25</v>
      </c>
      <c r="B213" s="39">
        <v>0</v>
      </c>
      <c r="C213" s="39">
        <v>0</v>
      </c>
      <c r="D213" s="39">
        <v>0</v>
      </c>
      <c r="E213" s="39">
        <v>0</v>
      </c>
      <c r="F213" s="39">
        <v>0</v>
      </c>
      <c r="G213" s="39">
        <v>0</v>
      </c>
    </row>
    <row r="214" spans="1:7" ht="11.25" customHeight="1" x14ac:dyDescent="0.2">
      <c r="A214" s="48" t="s">
        <v>25</v>
      </c>
      <c r="B214" s="39">
        <v>0</v>
      </c>
      <c r="C214" s="39">
        <v>0</v>
      </c>
      <c r="D214" s="39">
        <v>0</v>
      </c>
      <c r="E214" s="39">
        <v>0</v>
      </c>
      <c r="F214" s="39">
        <v>0</v>
      </c>
      <c r="G214" s="39">
        <v>0</v>
      </c>
    </row>
    <row r="215" spans="1:7" ht="11.25" customHeight="1" x14ac:dyDescent="0.2">
      <c r="A215" s="49">
        <v>44440</v>
      </c>
      <c r="B215" s="39">
        <v>0</v>
      </c>
      <c r="C215" s="39">
        <v>0</v>
      </c>
      <c r="D215" s="39">
        <v>0</v>
      </c>
      <c r="E215" s="39">
        <v>0</v>
      </c>
      <c r="F215" s="39">
        <v>0</v>
      </c>
      <c r="G215" s="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FABA-EC77-4261-B094-10A30A628C34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2" t="s">
        <v>629</v>
      </c>
      <c r="B1" s="107"/>
      <c r="C1" s="107"/>
      <c r="D1" s="107"/>
      <c r="E1" s="107"/>
      <c r="F1" s="107"/>
      <c r="G1" s="107"/>
      <c r="H1" s="107"/>
      <c r="I1" s="107"/>
      <c r="J1" s="107"/>
      <c r="L1" s="82" t="s">
        <v>639</v>
      </c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ht="11.25" customHeight="1" x14ac:dyDescent="0.25">
      <c r="A2" s="98" t="s">
        <v>60</v>
      </c>
      <c r="B2" s="98" t="s">
        <v>61</v>
      </c>
      <c r="C2" s="98" t="s">
        <v>630</v>
      </c>
      <c r="D2" s="98" t="s">
        <v>66</v>
      </c>
      <c r="E2" s="98" t="s">
        <v>631</v>
      </c>
      <c r="F2" s="106"/>
      <c r="G2" s="106"/>
      <c r="H2" s="98" t="s">
        <v>393</v>
      </c>
      <c r="I2" s="106"/>
      <c r="J2" s="106"/>
      <c r="L2" s="98" t="s">
        <v>60</v>
      </c>
      <c r="M2" s="98" t="s">
        <v>61</v>
      </c>
      <c r="N2" s="98" t="s">
        <v>62</v>
      </c>
      <c r="O2" s="98" t="s">
        <v>63</v>
      </c>
      <c r="P2" s="98" t="s">
        <v>66</v>
      </c>
      <c r="Q2" s="98" t="s">
        <v>631</v>
      </c>
      <c r="R2" s="104"/>
      <c r="S2" s="104"/>
      <c r="T2" s="98" t="s">
        <v>393</v>
      </c>
      <c r="U2" s="104"/>
      <c r="V2" s="104"/>
    </row>
    <row r="3" spans="1:22" ht="11.25" customHeight="1" x14ac:dyDescent="0.25">
      <c r="A3" s="106"/>
      <c r="B3" s="106"/>
      <c r="C3" s="106"/>
      <c r="D3" s="106"/>
      <c r="E3" s="98" t="s">
        <v>351</v>
      </c>
      <c r="F3" s="106"/>
      <c r="G3" s="30" t="s">
        <v>379</v>
      </c>
      <c r="H3" s="98" t="s">
        <v>351</v>
      </c>
      <c r="I3" s="106"/>
      <c r="J3" s="30" t="s">
        <v>379</v>
      </c>
      <c r="L3" s="104"/>
      <c r="M3" s="104"/>
      <c r="N3" s="104"/>
      <c r="O3" s="104"/>
      <c r="P3" s="104"/>
      <c r="Q3" s="98" t="s">
        <v>351</v>
      </c>
      <c r="R3" s="104"/>
      <c r="S3" s="30" t="s">
        <v>379</v>
      </c>
      <c r="T3" s="98" t="s">
        <v>351</v>
      </c>
      <c r="U3" s="104"/>
      <c r="V3" s="30" t="s">
        <v>379</v>
      </c>
    </row>
    <row r="4" spans="1:22" ht="11.25" customHeight="1" x14ac:dyDescent="0.25">
      <c r="A4" s="106"/>
      <c r="B4" s="106"/>
      <c r="C4" s="106"/>
      <c r="D4" s="106"/>
      <c r="E4" s="30" t="s">
        <v>632</v>
      </c>
      <c r="F4" s="30" t="s">
        <v>633</v>
      </c>
      <c r="G4" s="30" t="s">
        <v>633</v>
      </c>
      <c r="H4" s="30" t="s">
        <v>632</v>
      </c>
      <c r="I4" s="30" t="s">
        <v>633</v>
      </c>
      <c r="J4" s="30" t="s">
        <v>633</v>
      </c>
      <c r="L4" s="104"/>
      <c r="M4" s="104"/>
      <c r="N4" s="104"/>
      <c r="O4" s="104"/>
      <c r="P4" s="104"/>
      <c r="Q4" s="30" t="s">
        <v>632</v>
      </c>
      <c r="R4" s="30" t="s">
        <v>633</v>
      </c>
      <c r="S4" s="30" t="s">
        <v>633</v>
      </c>
      <c r="T4" s="30" t="s">
        <v>632</v>
      </c>
      <c r="U4" s="30" t="s">
        <v>633</v>
      </c>
      <c r="V4" s="30" t="s">
        <v>633</v>
      </c>
    </row>
    <row r="5" spans="1:22" ht="11.25" customHeight="1" x14ac:dyDescent="0.25">
      <c r="A5" s="105" t="s">
        <v>35</v>
      </c>
      <c r="B5" s="105" t="s">
        <v>73</v>
      </c>
      <c r="C5" s="105" t="s">
        <v>25</v>
      </c>
      <c r="D5" s="31" t="s">
        <v>634</v>
      </c>
      <c r="E5" s="29">
        <f ca="1">ROUND('TUSD BE'!$AM$5+'TUSD BF'!$AM$5+'TUSD CVA'!$AM$5,2)</f>
        <v>106.37</v>
      </c>
      <c r="F5" s="29">
        <f ca="1">ROUND('TUSD BE'!$AM$7+'TUSD BF'!$AM$7+'TUSD CVA'!$AM$7,2)</f>
        <v>97.45</v>
      </c>
      <c r="G5" s="29">
        <f>ROUND('TE BE'!$AB$5+'TE BF'!$AB$5+'TE CVA'!$AB$5,2)</f>
        <v>153.96</v>
      </c>
      <c r="H5" s="29">
        <f ca="1">ROUND('TUSD BE'!$AM$5,2)</f>
        <v>137.91999999999999</v>
      </c>
      <c r="I5" s="29">
        <f ca="1">ROUND('TUSD BE'!$AM$7,2)</f>
        <v>98.25</v>
      </c>
      <c r="J5" s="29">
        <f>ROUND('TE BE'!$AB$5,2)</f>
        <v>165.01</v>
      </c>
      <c r="L5" s="101" t="s">
        <v>22</v>
      </c>
      <c r="M5" s="101" t="s">
        <v>640</v>
      </c>
      <c r="N5" s="101" t="s">
        <v>641</v>
      </c>
      <c r="O5" s="101" t="s">
        <v>641</v>
      </c>
      <c r="P5" s="31" t="s">
        <v>634</v>
      </c>
      <c r="Q5" s="29">
        <v>0</v>
      </c>
      <c r="R5" s="29">
        <f ca="1">ROUND('TUSD BE'!$AM$17+'TUSD BF'!$AM$17+'TUSD CVA'!$AM$17,2)</f>
        <v>1224.94</v>
      </c>
      <c r="S5" s="29">
        <f>ROUND('TE BE'!$AB$7+'TE BF'!$AB$7+'TE CVA'!$AB$7,2)</f>
        <v>153.96</v>
      </c>
      <c r="T5" s="29">
        <v>0</v>
      </c>
      <c r="U5" s="29">
        <f ca="1">ROUND('TUSD BE'!$AM$17,2)</f>
        <v>1585.25</v>
      </c>
      <c r="V5" s="29">
        <f>ROUND('TE BE'!$AB$7,2)</f>
        <v>165.01</v>
      </c>
    </row>
    <row r="6" spans="1:22" ht="11.25" customHeight="1" x14ac:dyDescent="0.25">
      <c r="A6" s="106"/>
      <c r="B6" s="106"/>
      <c r="C6" s="106"/>
      <c r="D6" s="31" t="s">
        <v>635</v>
      </c>
      <c r="E6" s="29">
        <f ca="1">ROUND('TUSD BE'!$AM$6+'TUSD BF'!$AM$6+'TUSD CVA'!$AM$6,2)</f>
        <v>34.4</v>
      </c>
      <c r="F6" s="29">
        <f ca="1">ROUND('TUSD BE'!$AM$7+'TUSD BF'!$AM$7+'TUSD CVA'!$AM$7,2)</f>
        <v>97.45</v>
      </c>
      <c r="G6" s="29">
        <f>ROUND('TE BE'!$AB$6+'TE BF'!$AB$6+'TE CVA'!$AB$6,2)</f>
        <v>153.96</v>
      </c>
      <c r="H6" s="29">
        <f ca="1">ROUND('TUSD BE'!$AM$6,2)</f>
        <v>43</v>
      </c>
      <c r="I6" s="29">
        <f ca="1">ROUND('TUSD BE'!$AM$7,2)</f>
        <v>98.25</v>
      </c>
      <c r="J6" s="29">
        <f>ROUND('TE BE'!$AB$6,2)</f>
        <v>165.01</v>
      </c>
      <c r="L6" s="102"/>
      <c r="M6" s="102"/>
      <c r="N6" s="102"/>
      <c r="O6" s="102"/>
      <c r="P6" s="31" t="s">
        <v>642</v>
      </c>
      <c r="Q6" s="29">
        <v>0</v>
      </c>
      <c r="R6" s="29">
        <f ca="1">ROUND('TUSD BE'!$AM$18+'TUSD BF'!$AM$18+'TUSD CVA'!$AM$18,2)</f>
        <v>783.3</v>
      </c>
      <c r="S6" s="29">
        <f>ROUND('TE BE'!$AB$8+'TE BF'!$AB$8+'TE CVA'!$AB$8,2)</f>
        <v>153.96</v>
      </c>
      <c r="T6" s="29">
        <v>0</v>
      </c>
      <c r="U6" s="29">
        <f ca="1">ROUND('TUSD BE'!$AM$18,2)</f>
        <v>1000.07</v>
      </c>
      <c r="V6" s="29">
        <f>ROUND('TE BE'!$AB$8,2)</f>
        <v>165.01</v>
      </c>
    </row>
    <row r="7" spans="1:22" ht="11.25" customHeight="1" x14ac:dyDescent="0.25">
      <c r="A7" s="106"/>
      <c r="B7" s="105" t="s">
        <v>636</v>
      </c>
      <c r="C7" s="105" t="s">
        <v>25</v>
      </c>
      <c r="D7" s="31" t="s">
        <v>634</v>
      </c>
      <c r="E7" s="29">
        <f ca="1">ROUND('TUSD BE'!$AM$5+'TUSD BF'!$AM$5+'TUSD CVA'!$AM$5,2)</f>
        <v>106.37</v>
      </c>
      <c r="F7" s="29">
        <f ca="1">ROUND('TUSD BE'!$AM$8+'TUSD BF'!$AM$8+'TUSD CVA'!$AM$8,2)</f>
        <v>5.68</v>
      </c>
      <c r="G7" s="29">
        <v>0</v>
      </c>
      <c r="H7" s="29">
        <f ca="1">ROUND('TUSD BE'!$AM$5,2)</f>
        <v>137.91999999999999</v>
      </c>
      <c r="I7" s="29">
        <f ca="1">ROUND('TUSD BE'!$AM$8,2)</f>
        <v>6.04</v>
      </c>
      <c r="J7" s="29">
        <v>0</v>
      </c>
      <c r="L7" s="102"/>
      <c r="M7" s="103"/>
      <c r="N7" s="103"/>
      <c r="O7" s="103"/>
      <c r="P7" s="31" t="s">
        <v>635</v>
      </c>
      <c r="Q7" s="29">
        <v>0</v>
      </c>
      <c r="R7" s="29">
        <f ca="1">ROUND('TUSD BE'!$AM$19+'TUSD BF'!$AM$19+'TUSD CVA'!$AM$19,2)</f>
        <v>341.72</v>
      </c>
      <c r="S7" s="29">
        <f>ROUND('TE BE'!$AB$9+'TE BF'!$AB$9+'TE CVA'!$AB$9,2)</f>
        <v>153.96</v>
      </c>
      <c r="T7" s="29">
        <v>0</v>
      </c>
      <c r="U7" s="29">
        <f ca="1">ROUND('TUSD BE'!$AM$19,2)</f>
        <v>414.94</v>
      </c>
      <c r="V7" s="29">
        <f>ROUND('TE BE'!$AB$9,2)</f>
        <v>165.01</v>
      </c>
    </row>
    <row r="8" spans="1:22" ht="11.25" customHeight="1" x14ac:dyDescent="0.25">
      <c r="A8" s="106"/>
      <c r="B8" s="106"/>
      <c r="C8" s="106"/>
      <c r="D8" s="31" t="s">
        <v>635</v>
      </c>
      <c r="E8" s="29">
        <f ca="1">ROUND('TUSD BE'!$AM$6+'TUSD BF'!$AM$6+'TUSD CVA'!$AM$6,2)</f>
        <v>34.4</v>
      </c>
      <c r="F8" s="29">
        <f ca="1">ROUND('TUSD BE'!$AM$8+'TUSD BF'!$AM$8+'TUSD CVA'!$AM$8,2)</f>
        <v>5.68</v>
      </c>
      <c r="G8" s="29">
        <v>0</v>
      </c>
      <c r="H8" s="29">
        <f ca="1">ROUND('TUSD BE'!$AM$6,2)</f>
        <v>43</v>
      </c>
      <c r="I8" s="29">
        <f ca="1">ROUND('TUSD BE'!$AM$8,2)</f>
        <v>6.04</v>
      </c>
      <c r="J8" s="29">
        <v>0</v>
      </c>
      <c r="L8" s="102"/>
      <c r="M8" s="31" t="s">
        <v>643</v>
      </c>
      <c r="N8" s="31" t="s">
        <v>641</v>
      </c>
      <c r="O8" s="31" t="s">
        <v>641</v>
      </c>
      <c r="P8" s="31" t="s">
        <v>637</v>
      </c>
      <c r="Q8" s="29">
        <v>0</v>
      </c>
      <c r="R8" s="29">
        <f ca="1">ROUND('TUSD BE'!$AM$25+'TUSD BF'!$AM$25+'TUSD CVA'!$AM$25,2)</f>
        <v>529.71</v>
      </c>
      <c r="S8" s="29">
        <f>ROUND('TE BE'!$AB$15+'TE BF'!$AB$15+'TE CVA'!$AB$15,2)</f>
        <v>153.96</v>
      </c>
      <c r="T8" s="29">
        <v>0</v>
      </c>
      <c r="U8" s="29">
        <f ca="1">ROUND('TUSD BE'!$AM$25,2)</f>
        <v>664.08</v>
      </c>
      <c r="V8" s="29">
        <f>ROUND('TE BE'!$AB$15,2)</f>
        <v>165.01</v>
      </c>
    </row>
    <row r="9" spans="1:22" ht="11.25" customHeight="1" x14ac:dyDescent="0.25">
      <c r="A9" s="106"/>
      <c r="B9" s="105" t="s">
        <v>36</v>
      </c>
      <c r="C9" s="105" t="s">
        <v>25</v>
      </c>
      <c r="D9" s="31" t="s">
        <v>637</v>
      </c>
      <c r="E9" s="29">
        <f ca="1">ROUND('TUSD BE'!$AM$10+'TUSD BF'!$AM$10+'TUSD CVA'!$AM$10,2)</f>
        <v>34.4</v>
      </c>
      <c r="F9" s="29">
        <v>0</v>
      </c>
      <c r="G9" s="29">
        <v>0</v>
      </c>
      <c r="H9" s="29">
        <f ca="1">ROUND('TUSD BE'!$AM$10,2)</f>
        <v>43</v>
      </c>
      <c r="I9" s="29">
        <v>0</v>
      </c>
      <c r="J9" s="29">
        <v>0</v>
      </c>
      <c r="L9" s="102"/>
      <c r="M9" s="31" t="s">
        <v>645</v>
      </c>
      <c r="N9" s="31" t="s">
        <v>641</v>
      </c>
      <c r="O9" s="31" t="s">
        <v>641</v>
      </c>
      <c r="P9" s="31" t="s">
        <v>637</v>
      </c>
      <c r="Q9" s="29">
        <v>0</v>
      </c>
      <c r="R9" s="29">
        <f ca="1">ROUND('TUSD BE'!$AM$20+'TUSD BF'!$AM$20+'TUSD CVA'!$AM$20,2)</f>
        <v>529.71</v>
      </c>
      <c r="S9" s="29">
        <f>ROUND('TE BE'!$AB$10+'TE BF'!$AB$10+'TE CVA'!$AB$10,2)</f>
        <v>153.96</v>
      </c>
      <c r="T9" s="29">
        <v>0</v>
      </c>
      <c r="U9" s="29">
        <f ca="1">ROUND('TUSD BE'!$AM$20,2)</f>
        <v>664.08</v>
      </c>
      <c r="V9" s="29">
        <f>ROUND('TE BE'!$AB$10,2)</f>
        <v>165.01</v>
      </c>
    </row>
    <row r="10" spans="1:22" ht="11.25" customHeight="1" x14ac:dyDescent="0.25">
      <c r="A10" s="106"/>
      <c r="B10" s="106"/>
      <c r="C10" s="106"/>
      <c r="D10" s="31" t="s">
        <v>634</v>
      </c>
      <c r="E10" s="29">
        <v>0</v>
      </c>
      <c r="F10" s="29">
        <f ca="1">ROUND('TUSD BE'!$AM$11+'TUSD BF'!$AM$11+'TUSD CVA'!$AM$11,2)</f>
        <v>2655.95</v>
      </c>
      <c r="G10" s="29">
        <f>ROUND('TE BE'!$AB$5+'TE BF'!$AB$5+'TE CVA'!$AB$5,2)</f>
        <v>153.96</v>
      </c>
      <c r="H10" s="29">
        <v>0</v>
      </c>
      <c r="I10" s="29">
        <f ca="1">ROUND('TUSD BE'!$AM$11,2)</f>
        <v>3415.66</v>
      </c>
      <c r="J10" s="29">
        <f>ROUND('TE BE'!$AB$5,2)</f>
        <v>165.01</v>
      </c>
      <c r="L10" s="102"/>
      <c r="M10" s="31" t="s">
        <v>643</v>
      </c>
      <c r="N10" s="31" t="s">
        <v>641</v>
      </c>
      <c r="O10" s="31" t="s">
        <v>644</v>
      </c>
      <c r="P10" s="31" t="s">
        <v>637</v>
      </c>
      <c r="Q10" s="29">
        <v>0</v>
      </c>
      <c r="R10" s="29">
        <f ca="1">ROUND('TUSD BE'!$AM$26+'TUSD BF'!$AM$26+'TUSD CVA'!$AM$26,2)</f>
        <v>423.24</v>
      </c>
      <c r="S10" s="29">
        <f>ROUND('TE BE'!$AB$16+'TE BF'!$AB$16+'TE CVA'!$AB$16,2)</f>
        <v>153.96</v>
      </c>
      <c r="T10" s="29">
        <v>0</v>
      </c>
      <c r="U10" s="29">
        <f ca="1">ROUND('TUSD BE'!$AM$26,2)</f>
        <v>557.08000000000004</v>
      </c>
      <c r="V10" s="29">
        <f>ROUND('TE BE'!$AB$16,2)</f>
        <v>165.01</v>
      </c>
    </row>
    <row r="11" spans="1:22" ht="11.25" customHeight="1" x14ac:dyDescent="0.25">
      <c r="A11" s="106"/>
      <c r="B11" s="106"/>
      <c r="C11" s="106"/>
      <c r="D11" s="31" t="s">
        <v>635</v>
      </c>
      <c r="E11" s="29">
        <v>0</v>
      </c>
      <c r="F11" s="29">
        <f ca="1">ROUND('TUSD BE'!$AM$12+'TUSD BF'!$AM$12+'TUSD CVA'!$AM$12,2)</f>
        <v>97.45</v>
      </c>
      <c r="G11" s="29">
        <f>ROUND('TE BE'!$AB$6+'TE BF'!$AB$6+'TE CVA'!$AB$6,2)</f>
        <v>153.96</v>
      </c>
      <c r="H11" s="29">
        <v>0</v>
      </c>
      <c r="I11" s="29">
        <f ca="1">ROUND('TUSD BE'!$AM$12,2)</f>
        <v>98.25</v>
      </c>
      <c r="J11" s="29">
        <f>ROUND('TE BE'!$AB$6,2)</f>
        <v>165.01</v>
      </c>
      <c r="L11" s="103"/>
      <c r="M11" s="31" t="s">
        <v>645</v>
      </c>
      <c r="N11" s="31" t="s">
        <v>641</v>
      </c>
      <c r="O11" s="31" t="s">
        <v>644</v>
      </c>
      <c r="P11" s="31" t="s">
        <v>637</v>
      </c>
      <c r="Q11" s="29">
        <v>0</v>
      </c>
      <c r="R11" s="29">
        <f ca="1">ROUND('TUSD BE'!$AM$21+'TUSD BF'!$AM$21+'TUSD CVA'!$AM$21,2)</f>
        <v>423.24</v>
      </c>
      <c r="S11" s="29">
        <f>ROUND('TE BE'!$AB$11+'TE BF'!$AB$11+'TE CVA'!$AB$11,2)</f>
        <v>153.96</v>
      </c>
      <c r="T11" s="29">
        <v>0</v>
      </c>
      <c r="U11" s="29">
        <f ca="1">ROUND('TUSD BE'!$AM$21,2)</f>
        <v>557.08000000000004</v>
      </c>
      <c r="V11" s="29">
        <f>ROUND('TE BE'!$AB$11,2)</f>
        <v>165.01</v>
      </c>
    </row>
    <row r="12" spans="1:22" ht="11.25" customHeight="1" x14ac:dyDescent="0.25">
      <c r="A12" s="106"/>
      <c r="B12" s="105" t="s">
        <v>638</v>
      </c>
      <c r="C12" s="105" t="s">
        <v>25</v>
      </c>
      <c r="D12" s="31" t="s">
        <v>637</v>
      </c>
      <c r="E12" s="29">
        <f ca="1">ROUND('TUSD BE'!$AM$10+'TUSD BF'!$AM$10+'TUSD CVA'!$AM$10,2)</f>
        <v>34.4</v>
      </c>
      <c r="F12" s="29">
        <v>0</v>
      </c>
      <c r="G12" s="29">
        <v>0</v>
      </c>
      <c r="H12" s="29">
        <f ca="1">ROUND('TUSD BE'!$AM$10,2)</f>
        <v>43</v>
      </c>
      <c r="I12" s="29">
        <v>0</v>
      </c>
      <c r="J12" s="29">
        <v>0</v>
      </c>
      <c r="L12" s="101" t="s">
        <v>40</v>
      </c>
      <c r="M12" s="101" t="s">
        <v>640</v>
      </c>
      <c r="N12" s="101" t="s">
        <v>646</v>
      </c>
      <c r="O12" s="101" t="s">
        <v>647</v>
      </c>
      <c r="P12" s="31" t="s">
        <v>634</v>
      </c>
      <c r="Q12" s="29">
        <v>0</v>
      </c>
      <c r="R12" s="29">
        <f ca="1">ROUND(('TUSD BE'!$AM$30+'TUSD BF'!$AM$30+'TUSD CVA'!$AM$30)*(1-CUSTOS!$M$38),2)</f>
        <v>1305.01</v>
      </c>
      <c r="S12" s="29">
        <f>ROUND(('TE BE'!$AB$20+'TE BF'!$AB$20+'TE CVA'!$AB$20)*(1-CUSTOS!$M$38),2)</f>
        <v>144.72</v>
      </c>
      <c r="T12" s="29">
        <v>0</v>
      </c>
      <c r="U12" s="29">
        <f ca="1">ROUND('TUSD BE'!$AM$30*(1-CUSTOS!$M$38),2)</f>
        <v>1672.24</v>
      </c>
      <c r="V12" s="29">
        <f>ROUND('TE BE'!$AB$20*(1-CUSTOS!$M$38),2)</f>
        <v>155.11000000000001</v>
      </c>
    </row>
    <row r="13" spans="1:22" ht="11.25" customHeight="1" x14ac:dyDescent="0.25">
      <c r="A13" s="106"/>
      <c r="B13" s="106"/>
      <c r="C13" s="106"/>
      <c r="D13" s="31" t="s">
        <v>634</v>
      </c>
      <c r="E13" s="29">
        <v>0</v>
      </c>
      <c r="F13" s="29">
        <f ca="1">ROUND('TUSD BE'!$AM$13+'TUSD BF'!$AM$13+'TUSD CVA'!$AM$13,2)</f>
        <v>2564.19</v>
      </c>
      <c r="G13" s="29">
        <v>0</v>
      </c>
      <c r="H13" s="29">
        <v>0</v>
      </c>
      <c r="I13" s="29">
        <f ca="1">ROUND('TUSD BE'!$AM$13,2)</f>
        <v>3323.45</v>
      </c>
      <c r="J13" s="29">
        <v>0</v>
      </c>
      <c r="L13" s="102"/>
      <c r="M13" s="102"/>
      <c r="N13" s="102"/>
      <c r="O13" s="102"/>
      <c r="P13" s="31" t="s">
        <v>642</v>
      </c>
      <c r="Q13" s="29">
        <v>0</v>
      </c>
      <c r="R13" s="29">
        <f ca="1">ROUND(('TUSD BE'!$AM$31+'TUSD BF'!$AM$31+'TUSD CVA'!$AM$31)*(1-CUSTOS!$M$38),2)</f>
        <v>828.4</v>
      </c>
      <c r="S13" s="29">
        <f>ROUND(('TE BE'!$AB$21+'TE BF'!$AB$21+'TE CVA'!$AB$21)*(1-CUSTOS!$M$38),2)</f>
        <v>144.72</v>
      </c>
      <c r="T13" s="29">
        <v>0</v>
      </c>
      <c r="U13" s="29">
        <f ca="1">ROUND('TUSD BE'!$AM$31*(1-CUSTOS!$M$38),2)</f>
        <v>1049.28</v>
      </c>
      <c r="V13" s="29">
        <f>ROUND('TE BE'!$AB$21*(1-CUSTOS!$M$38),2)</f>
        <v>155.11000000000001</v>
      </c>
    </row>
    <row r="14" spans="1:22" ht="11.25" customHeight="1" x14ac:dyDescent="0.25">
      <c r="A14" s="106"/>
      <c r="B14" s="106"/>
      <c r="C14" s="106"/>
      <c r="D14" s="31" t="s">
        <v>635</v>
      </c>
      <c r="E14" s="29">
        <v>0</v>
      </c>
      <c r="F14" s="29">
        <f ca="1">ROUND('TUSD BE'!$AM$14+'TUSD BF'!$AM$14+'TUSD CVA'!$AM$14,2)</f>
        <v>5.68</v>
      </c>
      <c r="G14" s="29">
        <v>0</v>
      </c>
      <c r="H14" s="29">
        <v>0</v>
      </c>
      <c r="I14" s="29">
        <f ca="1">ROUND('TUSD BE'!$AM$14,2)</f>
        <v>6.04</v>
      </c>
      <c r="J14" s="29">
        <v>0</v>
      </c>
      <c r="L14" s="102"/>
      <c r="M14" s="103"/>
      <c r="N14" s="103"/>
      <c r="O14" s="103"/>
      <c r="P14" s="31" t="s">
        <v>635</v>
      </c>
      <c r="Q14" s="29">
        <v>0</v>
      </c>
      <c r="R14" s="29">
        <f ca="1">ROUND(('TUSD BE'!$AM$32+'TUSD BF'!$AM$32+'TUSD CVA'!$AM$32)*(1-CUSTOS!$M$38),2)</f>
        <v>351.84</v>
      </c>
      <c r="S14" s="29">
        <f>ROUND(('TE BE'!$AB$22+'TE BF'!$AB$22+'TE CVA'!$AB$22)*(1-CUSTOS!$M$38),2)</f>
        <v>144.72</v>
      </c>
      <c r="T14" s="29">
        <v>0</v>
      </c>
      <c r="U14" s="29">
        <f ca="1">ROUND('TUSD BE'!$AM$32*(1-CUSTOS!$M$38),2)</f>
        <v>426.38</v>
      </c>
      <c r="V14" s="29">
        <f>ROUND('TE BE'!$AB$22*(1-CUSTOS!$M$38),2)</f>
        <v>155.11000000000001</v>
      </c>
    </row>
    <row r="15" spans="1:22" ht="11.25" customHeight="1" x14ac:dyDescent="0.25">
      <c r="A15" s="106"/>
      <c r="B15" s="31" t="s">
        <v>79</v>
      </c>
      <c r="C15" s="31" t="s">
        <v>25</v>
      </c>
      <c r="D15" s="31" t="s">
        <v>637</v>
      </c>
      <c r="E15" s="29">
        <f ca="1">ROUND('TUSD BE'!$AM$9+'TUSD BF'!$AM$9+'TUSD CVA'!$AM$9,2)</f>
        <v>12.18</v>
      </c>
      <c r="F15" s="29">
        <v>0</v>
      </c>
      <c r="G15" s="29">
        <v>0</v>
      </c>
      <c r="H15" s="29">
        <f ca="1">ROUND('TUSD BE'!$AM$9,2)</f>
        <v>12.37</v>
      </c>
      <c r="I15" s="29">
        <v>0</v>
      </c>
      <c r="J15" s="29">
        <v>0</v>
      </c>
      <c r="L15" s="102"/>
      <c r="M15" s="31" t="s">
        <v>643</v>
      </c>
      <c r="N15" s="31" t="s">
        <v>646</v>
      </c>
      <c r="O15" s="31" t="s">
        <v>647</v>
      </c>
      <c r="P15" s="31" t="s">
        <v>637</v>
      </c>
      <c r="Q15" s="29">
        <v>0</v>
      </c>
      <c r="R15" s="29">
        <f ca="1">ROUND(('TUSD BE'!$AM$42+'TUSD BF'!$AM$42+'TUSD CVA'!$AM$42)*(1-CUSTOS!$M$38),2)</f>
        <v>497.93</v>
      </c>
      <c r="S15" s="29">
        <f>ROUND(('TE BE'!$AB$32+'TE BF'!$AB$32+'TE CVA'!$AB$32)*(1-CUSTOS!$M$38),2)</f>
        <v>144.72</v>
      </c>
      <c r="T15" s="29">
        <v>0</v>
      </c>
      <c r="U15" s="29">
        <f ca="1">ROUND(('TUSD BE'!$AM$42)*(1-CUSTOS!$M$38),2)</f>
        <v>624.23</v>
      </c>
      <c r="V15" s="29">
        <f>ROUND(('TE BE'!$AB$32)*(1-CUSTOS!$M$38),2)</f>
        <v>155.11000000000001</v>
      </c>
    </row>
    <row r="16" spans="1:22" ht="11.25" customHeight="1" x14ac:dyDescent="0.25">
      <c r="L16" s="102"/>
      <c r="M16" s="31" t="s">
        <v>645</v>
      </c>
      <c r="N16" s="31" t="s">
        <v>646</v>
      </c>
      <c r="O16" s="31" t="s">
        <v>647</v>
      </c>
      <c r="P16" s="31" t="s">
        <v>637</v>
      </c>
      <c r="Q16" s="29">
        <v>0</v>
      </c>
      <c r="R16" s="29">
        <f ca="1">ROUND(('TUSD BE'!$AM$33+'TUSD BF'!$AM$33+'TUSD CVA'!$AM$33)*(1-CUSTOS!$M$38),2)</f>
        <v>497.93</v>
      </c>
      <c r="S16" s="29">
        <f>ROUND(('TE BE'!$AB$23+'TE BF'!$AB$23+'TE CVA'!$AB$23)*(1-CUSTOS!$M$38),2)</f>
        <v>144.72</v>
      </c>
      <c r="T16" s="29">
        <v>0</v>
      </c>
      <c r="U16" s="29">
        <f ca="1">ROUND(('TUSD BE'!$AM$33)*(1-CUSTOS!$M$38),2)</f>
        <v>624.23</v>
      </c>
      <c r="V16" s="29">
        <f>ROUND(('TE BE'!$AB$23)*(1-CUSTOS!$M$38),2)</f>
        <v>155.11000000000001</v>
      </c>
    </row>
    <row r="17" spans="12:22" ht="11.25" customHeight="1" x14ac:dyDescent="0.25">
      <c r="L17" s="102"/>
      <c r="M17" s="101" t="s">
        <v>640</v>
      </c>
      <c r="N17" s="101" t="s">
        <v>646</v>
      </c>
      <c r="O17" s="101" t="s">
        <v>648</v>
      </c>
      <c r="P17" s="31" t="s">
        <v>634</v>
      </c>
      <c r="Q17" s="29">
        <v>0</v>
      </c>
      <c r="R17" s="29">
        <f ca="1">ROUND(('TUSD BE'!$AM$34+'TUSD BF'!$AM$34+'TUSD CVA'!$AM$34)*(1-CUSTOS!$M$39),2)</f>
        <v>1305.01</v>
      </c>
      <c r="S17" s="29">
        <f>ROUND(('TE BE'!$AB$24+'TE BF'!$AB$24+'TE CVA'!$AB$24)*(1-CUSTOS!$M$39),2)</f>
        <v>144.72</v>
      </c>
      <c r="T17" s="29">
        <v>0</v>
      </c>
      <c r="U17" s="29">
        <f ca="1">ROUND('TUSD BE'!$AM$34*(1-CUSTOS!$M$39),2)</f>
        <v>1672.24</v>
      </c>
      <c r="V17" s="29">
        <f>ROUND('TE BE'!$AB$24*(1-CUSTOS!$M$39),2)</f>
        <v>155.11000000000001</v>
      </c>
    </row>
    <row r="18" spans="12:22" ht="11.25" customHeight="1" x14ac:dyDescent="0.25">
      <c r="L18" s="102"/>
      <c r="M18" s="102"/>
      <c r="N18" s="102"/>
      <c r="O18" s="102"/>
      <c r="P18" s="31" t="s">
        <v>642</v>
      </c>
      <c r="Q18" s="29">
        <v>0</v>
      </c>
      <c r="R18" s="29">
        <f ca="1">ROUND(('TUSD BE'!$AM$35+'TUSD BF'!$AM$35+'TUSD CVA'!$AM$35)*(1-CUSTOS!$M$39),2)</f>
        <v>828.4</v>
      </c>
      <c r="S18" s="29">
        <f>ROUND(('TE BE'!$AB$25+'TE BF'!$AB$25+'TE CVA'!$AB$25)*(1-CUSTOS!$M$39),2)</f>
        <v>144.72</v>
      </c>
      <c r="T18" s="29">
        <v>0</v>
      </c>
      <c r="U18" s="29">
        <f ca="1">ROUND('TUSD BE'!$AM$35*(1-CUSTOS!$M$39),2)</f>
        <v>1049.28</v>
      </c>
      <c r="V18" s="29">
        <f>ROUND('TE BE'!$AB$25*(1-CUSTOS!$M$39),2)</f>
        <v>155.11000000000001</v>
      </c>
    </row>
    <row r="19" spans="12:22" ht="11.25" customHeight="1" x14ac:dyDescent="0.25">
      <c r="L19" s="102"/>
      <c r="M19" s="103"/>
      <c r="N19" s="103"/>
      <c r="O19" s="103"/>
      <c r="P19" s="31" t="s">
        <v>635</v>
      </c>
      <c r="Q19" s="29">
        <v>0</v>
      </c>
      <c r="R19" s="29">
        <f ca="1">ROUND(('TUSD BE'!$AM$36+'TUSD BF'!$AM$36+'TUSD CVA'!$AM$36)*(1-CUSTOS!$M$39),2)</f>
        <v>351.84</v>
      </c>
      <c r="S19" s="29">
        <f>ROUND(('TE BE'!$AB$26+'TE BF'!$AB$26+'TE CVA'!$AB$26)*(1-CUSTOS!$M$39),2)</f>
        <v>144.72</v>
      </c>
      <c r="T19" s="29">
        <v>0</v>
      </c>
      <c r="U19" s="29">
        <f ca="1">ROUND('TUSD BE'!$AM$36*(1-CUSTOS!$M$39),2)</f>
        <v>426.38</v>
      </c>
      <c r="V19" s="29">
        <f>ROUND('TE BE'!$AB$26*(1-CUSTOS!$M$39),2)</f>
        <v>155.11000000000001</v>
      </c>
    </row>
    <row r="20" spans="12:22" ht="11.25" customHeight="1" x14ac:dyDescent="0.25">
      <c r="L20" s="102"/>
      <c r="M20" s="31" t="s">
        <v>643</v>
      </c>
      <c r="N20" s="31" t="s">
        <v>646</v>
      </c>
      <c r="O20" s="31" t="s">
        <v>648</v>
      </c>
      <c r="P20" s="31" t="s">
        <v>637</v>
      </c>
      <c r="Q20" s="29">
        <v>0</v>
      </c>
      <c r="R20" s="29">
        <f ca="1">ROUND(('TUSD BE'!$AM$42+'TUSD BF'!$AM$42+'TUSD CVA'!$AM$42)*(1-CUSTOS!$M$39),2)</f>
        <v>497.93</v>
      </c>
      <c r="S20" s="29">
        <f>ROUND(('TE BE'!$AB$32+'TE BF'!$AB$32+'TE CVA'!$AB$32)*(1-CUSTOS!$M$39),2)</f>
        <v>144.72</v>
      </c>
      <c r="T20" s="29">
        <v>0</v>
      </c>
      <c r="U20" s="29">
        <f ca="1">ROUND(('TUSD BE'!$AM$42)*(1-CUSTOS!$M$39),2)</f>
        <v>624.23</v>
      </c>
      <c r="V20" s="29">
        <f>ROUND(('TE BE'!$AB$32)*(1-CUSTOS!$M$39),2)</f>
        <v>155.11000000000001</v>
      </c>
    </row>
    <row r="21" spans="12:22" ht="11.25" customHeight="1" x14ac:dyDescent="0.25">
      <c r="L21" s="102"/>
      <c r="M21" s="31" t="s">
        <v>645</v>
      </c>
      <c r="N21" s="31" t="s">
        <v>646</v>
      </c>
      <c r="O21" s="31" t="s">
        <v>648</v>
      </c>
      <c r="P21" s="31" t="s">
        <v>637</v>
      </c>
      <c r="Q21" s="29">
        <v>0</v>
      </c>
      <c r="R21" s="29">
        <f ca="1">ROUND(('TUSD BE'!$AM$33+'TUSD BF'!$AM$33+'TUSD CVA'!$AM$33)*(1-CUSTOS!$M$39),2)</f>
        <v>497.93</v>
      </c>
      <c r="S21" s="29">
        <f>ROUND(('TE BE'!$AB$23+'TE BF'!$AB$23+'TE CVA'!$AB$23)*(1-CUSTOS!$M$39),2)</f>
        <v>144.72</v>
      </c>
      <c r="T21" s="29">
        <v>0</v>
      </c>
      <c r="U21" s="29">
        <f ca="1">ROUND(('TUSD BE'!$AM$33)*(1-CUSTOS!$M$39),2)</f>
        <v>624.23</v>
      </c>
      <c r="V21" s="29">
        <f>ROUND(('TE BE'!$AB$23)*(1-CUSTOS!$M$39),2)</f>
        <v>155.11000000000001</v>
      </c>
    </row>
    <row r="22" spans="12:22" ht="11.25" customHeight="1" x14ac:dyDescent="0.25">
      <c r="L22" s="102"/>
      <c r="M22" s="101" t="s">
        <v>640</v>
      </c>
      <c r="N22" s="101" t="s">
        <v>646</v>
      </c>
      <c r="O22" s="101" t="s">
        <v>649</v>
      </c>
      <c r="P22" s="31" t="s">
        <v>634</v>
      </c>
      <c r="Q22" s="29">
        <v>0</v>
      </c>
      <c r="R22" s="29">
        <f ca="1">ROUND(('TUSD BE'!$AM$38+'TUSD BF'!$AM$38+'TUSD CVA'!$AM$38)*(1-CUSTOS!$M$40),2)</f>
        <v>1277.24</v>
      </c>
      <c r="S22" s="29">
        <f>ROUND(('TE BE'!$AB$28+'TE BF'!$AB$28+'TE CVA'!$AB$28)*(1-CUSTOS!$M$40),2)</f>
        <v>141.63999999999999</v>
      </c>
      <c r="T22" s="29">
        <v>0</v>
      </c>
      <c r="U22" s="29">
        <f ca="1">ROUND('TUSD BE'!$AM$38*(1-CUSTOS!$M$40),2)</f>
        <v>1636.66</v>
      </c>
      <c r="V22" s="29">
        <f>ROUND('TE BE'!$AB$28*(1-CUSTOS!$M$40),2)</f>
        <v>151.81</v>
      </c>
    </row>
    <row r="23" spans="12:22" ht="11.25" customHeight="1" x14ac:dyDescent="0.25">
      <c r="L23" s="102"/>
      <c r="M23" s="102"/>
      <c r="N23" s="102"/>
      <c r="O23" s="102"/>
      <c r="P23" s="31" t="s">
        <v>642</v>
      </c>
      <c r="Q23" s="29">
        <v>0</v>
      </c>
      <c r="R23" s="29">
        <f ca="1">ROUND(('TUSD BE'!$AM$39+'TUSD BF'!$AM$39+'TUSD CVA'!$AM$39)*(1-CUSTOS!$M$40),2)</f>
        <v>810.77</v>
      </c>
      <c r="S23" s="29">
        <f>ROUND(('TE BE'!$AB$29+'TE BF'!$AB$29+'TE CVA'!$AB$29)*(1-CUSTOS!$M$40),2)</f>
        <v>141.63999999999999</v>
      </c>
      <c r="T23" s="29">
        <v>0</v>
      </c>
      <c r="U23" s="29">
        <f ca="1">ROUND('TUSD BE'!$AM$39*(1-CUSTOS!$M$40),2)</f>
        <v>1026.96</v>
      </c>
      <c r="V23" s="29">
        <f>ROUND('TE BE'!$AB$29*(1-CUSTOS!$M$40),2)</f>
        <v>151.81</v>
      </c>
    </row>
    <row r="24" spans="12:22" ht="11.25" customHeight="1" x14ac:dyDescent="0.25">
      <c r="L24" s="102"/>
      <c r="M24" s="103"/>
      <c r="N24" s="103"/>
      <c r="O24" s="103"/>
      <c r="P24" s="31" t="s">
        <v>635</v>
      </c>
      <c r="Q24" s="29">
        <v>0</v>
      </c>
      <c r="R24" s="29">
        <f ca="1">ROUND(('TUSD BE'!$AM$40+'TUSD BF'!$AM$40+'TUSD CVA'!$AM$40)*(1-CUSTOS!$M$40),2)</f>
        <v>344.36</v>
      </c>
      <c r="S24" s="29">
        <f>ROUND(('TE BE'!$AB$30+'TE BF'!$AB$30+'TE CVA'!$AB$30)*(1-CUSTOS!$M$40),2)</f>
        <v>141.63999999999999</v>
      </c>
      <c r="T24" s="29">
        <v>0</v>
      </c>
      <c r="U24" s="29">
        <f ca="1">ROUND('TUSD BE'!$AM$40*(1-CUSTOS!$M$40),2)</f>
        <v>417.31</v>
      </c>
      <c r="V24" s="29">
        <f>ROUND('TE BE'!$AB$30*(1-CUSTOS!$M$40),2)</f>
        <v>151.81</v>
      </c>
    </row>
    <row r="25" spans="12:22" ht="11.25" customHeight="1" x14ac:dyDescent="0.25">
      <c r="L25" s="102"/>
      <c r="M25" s="31" t="s">
        <v>643</v>
      </c>
      <c r="N25" s="31" t="s">
        <v>646</v>
      </c>
      <c r="O25" s="31" t="s">
        <v>649</v>
      </c>
      <c r="P25" s="31" t="s">
        <v>637</v>
      </c>
      <c r="Q25" s="29">
        <v>0</v>
      </c>
      <c r="R25" s="29">
        <f ca="1">ROUND(('TUSD BE'!$AM$42+'TUSD BF'!$AM$42+'TUSD CVA'!$AM$42)*(1-CUSTOS!$M$40),2)</f>
        <v>487.34</v>
      </c>
      <c r="S25" s="29">
        <f>ROUND(('TE BE'!$AB$32+'TE BF'!$AB$32+'TE CVA'!$AB$32)*(1-CUSTOS!$M$40),2)</f>
        <v>141.63999999999999</v>
      </c>
      <c r="T25" s="29">
        <v>0</v>
      </c>
      <c r="U25" s="29">
        <f ca="1">ROUND(('TUSD BE'!$AM$42)*(1-CUSTOS!$M$40),2)</f>
        <v>610.95000000000005</v>
      </c>
      <c r="V25" s="29">
        <f>ROUND(('TE BE'!$AB$32)*(1-CUSTOS!$M$40),2)</f>
        <v>151.81</v>
      </c>
    </row>
    <row r="26" spans="12:22" ht="11.25" customHeight="1" x14ac:dyDescent="0.25">
      <c r="L26" s="103"/>
      <c r="M26" s="31" t="s">
        <v>645</v>
      </c>
      <c r="N26" s="31" t="s">
        <v>646</v>
      </c>
      <c r="O26" s="31" t="s">
        <v>649</v>
      </c>
      <c r="P26" s="31" t="s">
        <v>637</v>
      </c>
      <c r="Q26" s="29">
        <v>0</v>
      </c>
      <c r="R26" s="29">
        <f ca="1">ROUND(('TUSD BE'!$AM$33+'TUSD BF'!$AM$33+'TUSD CVA'!$AM$33)*(1-CUSTOS!$M$40),2)</f>
        <v>487.34</v>
      </c>
      <c r="S26" s="29">
        <f>ROUND(('TE BE'!$AB$23+'TE BF'!$AB$23+'TE CVA'!$AB$23)*(1-CUSTOS!$M$40),2)</f>
        <v>141.63999999999999</v>
      </c>
      <c r="T26" s="29">
        <v>0</v>
      </c>
      <c r="U26" s="29">
        <f ca="1">ROUND(('TUSD BE'!$AM$33)*(1-CUSTOS!$M$40),2)</f>
        <v>610.95000000000005</v>
      </c>
      <c r="V26" s="29">
        <f>ROUND(('TE BE'!$AB$23)*(1-CUSTOS!$M$40),2)</f>
        <v>151.81</v>
      </c>
    </row>
    <row r="27" spans="12:22" ht="11.25" customHeight="1" x14ac:dyDescent="0.25">
      <c r="L27" s="101" t="s">
        <v>33</v>
      </c>
      <c r="M27" s="101" t="s">
        <v>640</v>
      </c>
      <c r="N27" s="101" t="s">
        <v>637</v>
      </c>
      <c r="O27" s="101" t="s">
        <v>637</v>
      </c>
      <c r="P27" s="31" t="s">
        <v>634</v>
      </c>
      <c r="Q27" s="29">
        <v>0</v>
      </c>
      <c r="R27" s="29">
        <f ca="1">ROUND(('TUSD BE'!$AM$45+'TUSD BF'!$AM$45+'TUSD CVA'!$AM$45)*(1-CUSTOS!$M$31),2)</f>
        <v>1531.55</v>
      </c>
      <c r="S27" s="29">
        <f>ROUND(('TE BE'!$AB$35+'TE BF'!$AB$35+'TE CVA'!$AB$35)*(1-CUSTOS!$M$31),2)</f>
        <v>153.96</v>
      </c>
      <c r="T27" s="29">
        <v>0</v>
      </c>
      <c r="U27" s="29">
        <f ca="1">ROUND('TUSD BE'!$AM$45*(1-CUSTOS!$M$31),2)</f>
        <v>1991.55</v>
      </c>
      <c r="V27" s="29">
        <f>ROUND('TE BE'!$AB$35*(1-CUSTOS!$M$31),2)</f>
        <v>165.01</v>
      </c>
    </row>
    <row r="28" spans="12:22" ht="11.25" customHeight="1" x14ac:dyDescent="0.25">
      <c r="L28" s="102"/>
      <c r="M28" s="102"/>
      <c r="N28" s="102"/>
      <c r="O28" s="102"/>
      <c r="P28" s="31" t="s">
        <v>642</v>
      </c>
      <c r="Q28" s="29">
        <v>0</v>
      </c>
      <c r="R28" s="29">
        <f ca="1">ROUND(('TUSD BE'!$AM$46+'TUSD BF'!$AM$46+'TUSD CVA'!$AM$46)*(1-CUSTOS!$M$31),2)</f>
        <v>967.22</v>
      </c>
      <c r="S28" s="29">
        <f>ROUND(('TE BE'!$AB$36+'TE BF'!$AB$36+'TE CVA'!$AB$36)*(1-CUSTOS!$M$31),2)</f>
        <v>153.96</v>
      </c>
      <c r="T28" s="29">
        <v>0</v>
      </c>
      <c r="U28" s="29">
        <f ca="1">ROUND('TUSD BE'!$AM$46*(1-CUSTOS!$M$31),2)</f>
        <v>1243.8</v>
      </c>
      <c r="V28" s="29">
        <f>ROUND('TE BE'!$AB$36*(1-CUSTOS!$M$31),2)</f>
        <v>165.01</v>
      </c>
    </row>
    <row r="29" spans="12:22" ht="11.25" customHeight="1" x14ac:dyDescent="0.25">
      <c r="L29" s="102"/>
      <c r="M29" s="103"/>
      <c r="N29" s="103"/>
      <c r="O29" s="103"/>
      <c r="P29" s="31" t="s">
        <v>635</v>
      </c>
      <c r="Q29" s="29">
        <v>0</v>
      </c>
      <c r="R29" s="29">
        <f ca="1">ROUND(('TUSD BE'!$AM$47+'TUSD BF'!$AM$47+'TUSD CVA'!$AM$47)*(1-CUSTOS!$M$31),2)</f>
        <v>402.95</v>
      </c>
      <c r="S29" s="29">
        <f>ROUND(('TE BE'!$AB$37+'TE BF'!$AB$37+'TE CVA'!$AB$37)*(1-CUSTOS!$M$31),2)</f>
        <v>153.96</v>
      </c>
      <c r="T29" s="29">
        <v>0</v>
      </c>
      <c r="U29" s="29">
        <f ca="1">ROUND('TUSD BE'!$AM$47*(1-CUSTOS!$M$31),2)</f>
        <v>496.11</v>
      </c>
      <c r="V29" s="29">
        <f>ROUND('TE BE'!$AB$37*(1-CUSTOS!$M$31),2)</f>
        <v>165.01</v>
      </c>
    </row>
    <row r="30" spans="12:22" ht="11.25" customHeight="1" x14ac:dyDescent="0.25">
      <c r="L30" s="102"/>
      <c r="M30" s="31" t="s">
        <v>643</v>
      </c>
      <c r="N30" s="31" t="s">
        <v>637</v>
      </c>
      <c r="O30" s="31" t="s">
        <v>637</v>
      </c>
      <c r="P30" s="31" t="s">
        <v>637</v>
      </c>
      <c r="Q30" s="29">
        <v>0</v>
      </c>
      <c r="R30" s="29">
        <f ca="1">ROUND(('TUSD BE'!$AM$49+'TUSD BF'!$AM$49+'TUSD CVA'!$AM$49)*(1-CUSTOS!$M$31),2)</f>
        <v>529.71</v>
      </c>
      <c r="S30" s="29">
        <f>ROUND(('TE BE'!$AB$39+'TE BF'!$AB$39+'TE CVA'!$AB$39)*(1-CUSTOS!$M$31),2)</f>
        <v>153.96</v>
      </c>
      <c r="T30" s="29">
        <v>0</v>
      </c>
      <c r="U30" s="29">
        <f ca="1">ROUND(('TUSD BE'!$AM$49)*(1-CUSTOS!$M$31),2)</f>
        <v>664.08</v>
      </c>
      <c r="V30" s="29">
        <f>ROUND(('TE BE'!$AB$39)*(1-CUSTOS!$M$31),2)</f>
        <v>165.01</v>
      </c>
    </row>
    <row r="31" spans="12:22" ht="11.25" customHeight="1" x14ac:dyDescent="0.25">
      <c r="L31" s="103"/>
      <c r="M31" s="31" t="s">
        <v>645</v>
      </c>
      <c r="N31" s="31" t="s">
        <v>637</v>
      </c>
      <c r="O31" s="31" t="s">
        <v>637</v>
      </c>
      <c r="P31" s="31" t="s">
        <v>637</v>
      </c>
      <c r="Q31" s="29">
        <v>0</v>
      </c>
      <c r="R31" s="29">
        <f ca="1">ROUND(('TUSD BE'!$AM$48+'TUSD BF'!$AM$48+'TUSD CVA'!$AM$48)*(1-CUSTOS!$M$31),2)</f>
        <v>529.71</v>
      </c>
      <c r="S31" s="29">
        <f>ROUND(('TE BE'!$AB$38+'TE BF'!$AB$38+'TE CVA'!$AB$38)*(1-CUSTOS!$M$31),2)</f>
        <v>153.96</v>
      </c>
      <c r="T31" s="29">
        <v>0</v>
      </c>
      <c r="U31" s="29">
        <f ca="1">ROUND(('TUSD BE'!$AM$48)*(1-CUSTOS!$M$31),2)</f>
        <v>664.08</v>
      </c>
      <c r="V31" s="29">
        <f>ROUND(('TE BE'!$AB$38)*(1-CUSTOS!$M$31),2)</f>
        <v>165.01</v>
      </c>
    </row>
    <row r="32" spans="12:22" ht="11.25" customHeight="1" x14ac:dyDescent="0.25">
      <c r="L32" s="101" t="s">
        <v>43</v>
      </c>
      <c r="M32" s="101" t="s">
        <v>645</v>
      </c>
      <c r="N32" s="101" t="s">
        <v>650</v>
      </c>
      <c r="O32" s="31" t="s">
        <v>651</v>
      </c>
      <c r="P32" s="31" t="s">
        <v>637</v>
      </c>
      <c r="Q32" s="29">
        <v>0</v>
      </c>
      <c r="R32" s="29">
        <f ca="1">ROUND(('TUSD BE'!$AM$50+'TUSD BF'!$AM$50+'TUSD CVA'!$AM$50),2)</f>
        <v>291.33999999999997</v>
      </c>
      <c r="S32" s="29">
        <f>ROUND(('TE BE'!$AB$40+'TE BF'!$AB$40+'TE CVA'!$AB$40),2)</f>
        <v>84.68</v>
      </c>
      <c r="T32" s="29">
        <v>0</v>
      </c>
      <c r="U32" s="29">
        <f ca="1">ROUND(('TUSD BE'!$AM$50),2)</f>
        <v>365.24</v>
      </c>
      <c r="V32" s="29">
        <f>ROUND(('TE BE'!$AB$40),2)</f>
        <v>90.76</v>
      </c>
    </row>
    <row r="33" spans="12:22" ht="11.25" customHeight="1" x14ac:dyDescent="0.25">
      <c r="L33" s="103"/>
      <c r="M33" s="103"/>
      <c r="N33" s="103"/>
      <c r="O33" s="31" t="s">
        <v>652</v>
      </c>
      <c r="P33" s="31" t="s">
        <v>637</v>
      </c>
      <c r="Q33" s="29">
        <v>0</v>
      </c>
      <c r="R33" s="29">
        <f ca="1">ROUND(('TUSD BE'!$AM$51+'TUSD BF'!$AM$51+'TUSD CVA'!$AM$51),2)</f>
        <v>317.83</v>
      </c>
      <c r="S33" s="29">
        <f>ROUND(('TE BE'!$AB$41+'TE BF'!$AB$41+'TE CVA'!$AB$41),2)</f>
        <v>92.37</v>
      </c>
      <c r="T33" s="29">
        <v>0</v>
      </c>
      <c r="U33" s="29">
        <f ca="1">ROUND(('TUSD BE'!$AM$51),2)</f>
        <v>398.45</v>
      </c>
      <c r="V33" s="29">
        <f>ROUND(('TE BE'!$AB$41),2)</f>
        <v>99.01</v>
      </c>
    </row>
    <row r="34" spans="12:22" ht="11.25" customHeight="1" x14ac:dyDescent="0.25">
      <c r="L34" s="101" t="s">
        <v>80</v>
      </c>
      <c r="M34" s="101" t="s">
        <v>653</v>
      </c>
      <c r="N34" s="31" t="s">
        <v>81</v>
      </c>
      <c r="O34" s="31" t="s">
        <v>637</v>
      </c>
      <c r="P34" s="31" t="s">
        <v>637</v>
      </c>
      <c r="Q34" s="29">
        <f ca="1">ROUND(('TUSD BE'!$AM$15+'TUSD BF'!$AM$15+'TUSD CVA'!$AM$15),2)</f>
        <v>8.99</v>
      </c>
      <c r="R34" s="29">
        <v>0</v>
      </c>
      <c r="S34" s="29">
        <v>0</v>
      </c>
      <c r="T34" s="29">
        <f ca="1">ROUND(('TUSD BE'!$AM$15),2)</f>
        <v>13.33</v>
      </c>
      <c r="U34" s="29">
        <v>0</v>
      </c>
      <c r="V34" s="29">
        <v>0</v>
      </c>
    </row>
    <row r="35" spans="12:22" ht="11.25" customHeight="1" x14ac:dyDescent="0.25">
      <c r="L35" s="103"/>
      <c r="M35" s="103"/>
      <c r="N35" s="31" t="s">
        <v>82</v>
      </c>
      <c r="O35" s="31" t="s">
        <v>637</v>
      </c>
      <c r="P35" s="31" t="s">
        <v>637</v>
      </c>
      <c r="Q35" s="29">
        <f ca="1">ROUND(('TUSD BE'!$AM$16+'TUSD BF'!$AM$16+'TUSD CVA'!$AM$16),2)</f>
        <v>18.27</v>
      </c>
      <c r="R35" s="29">
        <v>0</v>
      </c>
      <c r="S35" s="29">
        <v>0</v>
      </c>
      <c r="T35" s="29">
        <f ca="1">ROUND(('TUSD BE'!$AM$16),2)</f>
        <v>27.11</v>
      </c>
      <c r="U35" s="29">
        <v>0</v>
      </c>
      <c r="V35" s="29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L27:L31"/>
    <mergeCell ref="L32:L33"/>
    <mergeCell ref="L34:L35"/>
    <mergeCell ref="M32:M33"/>
    <mergeCell ref="M34:M35"/>
    <mergeCell ref="N5:N7"/>
    <mergeCell ref="N12:N14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C7E1-209D-4B5E-95A6-0D3115124F83}">
  <dimension ref="A1:AN345"/>
  <sheetViews>
    <sheetView showGridLines="0" workbookViewId="0">
      <selection sqref="A1:O345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54" t="s">
        <v>8</v>
      </c>
      <c r="J1" s="30" t="s">
        <v>600</v>
      </c>
      <c r="K1" s="30" t="s">
        <v>601</v>
      </c>
      <c r="L1" s="30" t="s">
        <v>602</v>
      </c>
      <c r="M1" s="30" t="s">
        <v>603</v>
      </c>
      <c r="N1" s="30" t="s">
        <v>604</v>
      </c>
      <c r="O1" s="30" t="s">
        <v>605</v>
      </c>
      <c r="P1" s="7"/>
      <c r="Q1" s="98" t="s">
        <v>606</v>
      </c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L1" s="34" t="s">
        <v>627</v>
      </c>
      <c r="AM1" s="34" t="s">
        <v>57</v>
      </c>
      <c r="AN1" s="34" t="s">
        <v>628</v>
      </c>
    </row>
    <row r="2" spans="1:40" ht="11.25" customHeight="1" x14ac:dyDescent="0.2">
      <c r="A2" s="35" t="s">
        <v>21</v>
      </c>
      <c r="B2" s="35" t="s">
        <v>35</v>
      </c>
      <c r="C2" s="35" t="s">
        <v>36</v>
      </c>
      <c r="D2" s="35" t="s">
        <v>39</v>
      </c>
      <c r="E2" s="35" t="s">
        <v>25</v>
      </c>
      <c r="F2" s="35" t="s">
        <v>25</v>
      </c>
      <c r="G2" s="35" t="s">
        <v>25</v>
      </c>
      <c r="H2" s="35" t="s">
        <v>38</v>
      </c>
      <c r="I2" s="55">
        <v>44440</v>
      </c>
      <c r="J2" s="56">
        <f>EFEITO!$J$2*EFEITO!$Y$2</f>
        <v>0</v>
      </c>
      <c r="K2" s="56">
        <f ca="1">EFEITO!$L$2*EFEITO!$Z$2</f>
        <v>19950.802272520541</v>
      </c>
      <c r="L2" s="56">
        <f>EFEITO!$N$2*EFEITO!$AA$2</f>
        <v>31520.625102718812</v>
      </c>
      <c r="M2" s="56">
        <f>$J$2-EFEITO!$K$2*EFEITO!$Y$2</f>
        <v>0</v>
      </c>
      <c r="N2" s="56">
        <f ca="1">$K$2-EFEITO!$M$2*EFEITO!$Z$2</f>
        <v>0</v>
      </c>
      <c r="O2" s="56">
        <f>$L$2-EFEITO!$O$2*EFEITO!$AA$2</f>
        <v>0</v>
      </c>
      <c r="P2" s="39"/>
      <c r="Q2" s="28" t="s">
        <v>60</v>
      </c>
      <c r="R2" s="28" t="s">
        <v>608</v>
      </c>
      <c r="S2" s="28" t="s">
        <v>609</v>
      </c>
      <c r="T2" s="28" t="s">
        <v>610</v>
      </c>
      <c r="U2" s="28" t="s">
        <v>611</v>
      </c>
      <c r="V2" s="28" t="s">
        <v>612</v>
      </c>
      <c r="W2" s="28" t="s">
        <v>613</v>
      </c>
      <c r="X2" s="57" t="s">
        <v>614</v>
      </c>
      <c r="Y2" s="57" t="s">
        <v>615</v>
      </c>
      <c r="Z2" s="57" t="s">
        <v>616</v>
      </c>
      <c r="AA2" s="57" t="s">
        <v>617</v>
      </c>
      <c r="AB2" s="57" t="s">
        <v>618</v>
      </c>
      <c r="AC2" s="57" t="s">
        <v>619</v>
      </c>
      <c r="AD2" s="57" t="s">
        <v>620</v>
      </c>
      <c r="AE2" s="57" t="s">
        <v>621</v>
      </c>
      <c r="AF2" s="57" t="s">
        <v>622</v>
      </c>
      <c r="AG2" s="57" t="s">
        <v>623</v>
      </c>
      <c r="AH2" s="57" t="s">
        <v>624</v>
      </c>
      <c r="AI2" s="57" t="s">
        <v>625</v>
      </c>
      <c r="AJ2" s="57" t="s">
        <v>626</v>
      </c>
      <c r="AL2" s="35"/>
      <c r="AM2" s="35"/>
      <c r="AN2" s="35"/>
    </row>
    <row r="3" spans="1:40" ht="11.25" customHeight="1" x14ac:dyDescent="0.2">
      <c r="A3" s="35" t="s">
        <v>21</v>
      </c>
      <c r="B3" s="35" t="s">
        <v>35</v>
      </c>
      <c r="C3" s="35" t="s">
        <v>36</v>
      </c>
      <c r="D3" s="35" t="s">
        <v>39</v>
      </c>
      <c r="E3" s="35" t="s">
        <v>25</v>
      </c>
      <c r="F3" s="35" t="s">
        <v>25</v>
      </c>
      <c r="G3" s="35" t="s">
        <v>25</v>
      </c>
      <c r="H3" s="35" t="s">
        <v>38</v>
      </c>
      <c r="I3" s="55">
        <v>44470</v>
      </c>
      <c r="J3" s="56">
        <f>EFEITO!$J$3*EFEITO!$Y$3</f>
        <v>0</v>
      </c>
      <c r="K3" s="56">
        <f ca="1">EFEITO!$L$3*EFEITO!$Z$3</f>
        <v>18594.834520771346</v>
      </c>
      <c r="L3" s="56">
        <f>EFEITO!$N$3*EFEITO!$AA$3</f>
        <v>29378.307687587465</v>
      </c>
      <c r="M3" s="56">
        <f>$J$3-EFEITO!$K$3*EFEITO!$Y$3</f>
        <v>0</v>
      </c>
      <c r="N3" s="56">
        <f ca="1">$K$3-EFEITO!$M$3*EFEITO!$Z$3</f>
        <v>0</v>
      </c>
      <c r="O3" s="56">
        <f>$L$3-EFEITO!$O$3*EFEITO!$AA$3</f>
        <v>0</v>
      </c>
      <c r="P3" s="39"/>
      <c r="Q3" s="56" t="s">
        <v>607</v>
      </c>
      <c r="R3" s="56">
        <f>SUMIF($B$2:$B$345,$Q$3,$J$2:$J$345)</f>
        <v>0</v>
      </c>
      <c r="S3" s="56">
        <f>SUMIF($B$2:$B$345,$Q$3,$K$2:$K$345)</f>
        <v>0</v>
      </c>
      <c r="T3" s="56">
        <f>SUMIF($B$2:$B$345,$Q$3,$L$2:$L$345)</f>
        <v>0</v>
      </c>
      <c r="U3" s="56">
        <f>SUMIF($B$2:$B$345,$Q$3,$M$2:$M$345)</f>
        <v>0</v>
      </c>
      <c r="V3" s="56">
        <f>SUMIF($B$2:$B$345,$Q$3,$N$2:$N$345)</f>
        <v>0</v>
      </c>
      <c r="W3" s="56">
        <f>SUMIF($B$2:$B$345,$Q$3,$O$2:$O$345)</f>
        <v>0</v>
      </c>
      <c r="X3" s="36">
        <f>$R$3-$U$3</f>
        <v>0</v>
      </c>
      <c r="Y3" s="36">
        <f>$S$3-$V$3</f>
        <v>0</v>
      </c>
      <c r="Z3" s="36">
        <f>$T$3-$W$3</f>
        <v>0</v>
      </c>
      <c r="AA3" s="36">
        <f>SUMIF(EFEITO!$B$2:$B$345,$Q$3,EFEITO!$AE$2:$AE$345)</f>
        <v>0</v>
      </c>
      <c r="AB3" s="36">
        <f>SUMIF(EFEITO!$B$2:$B$345,$Q$3,EFEITO!$AF$2:$AF$345)</f>
        <v>0</v>
      </c>
      <c r="AC3" s="36">
        <f>SUMIF(EFEITO!$B$2:$B$345,$Q$3,EFEITO!$AG$2:$AH$345)</f>
        <v>0</v>
      </c>
      <c r="AD3" s="36">
        <f>SUMIF(SUBSIDIO!$B$2:$B$345,$Q$3,SUBSIDIO!$AD$2:$AD$345)</f>
        <v>0</v>
      </c>
      <c r="AE3" s="36">
        <f>SUMIF(SUBSIDIO!$B$2:$B$345,$Q$3,SUBSIDIO!$AE$2:$AE$345)</f>
        <v>0</v>
      </c>
      <c r="AF3" s="36" t="str">
        <f>IF(ABS($X$3-$AA$3)&lt;0.01,"OK","ERRO")</f>
        <v>OK</v>
      </c>
      <c r="AG3" s="36" t="str">
        <f>IF(ABS($Y$3-$AB$3)&lt;0.01,"OK","ERRO")</f>
        <v>OK</v>
      </c>
      <c r="AH3" s="36" t="str">
        <f>IF(ABS($Z$3-$AC$3)&lt;0.01,"OK","ERRO")</f>
        <v>OK</v>
      </c>
      <c r="AI3" s="36" t="str">
        <f>IF(ABS($U$3-$AD$3)&lt;0.01,"OK","ERRO")</f>
        <v>OK</v>
      </c>
      <c r="AJ3" s="36" t="str">
        <f>IF(ABS(($V$3+$W$3)-$AE$3)&lt;0.01,"OK","ERRO")</f>
        <v>OK</v>
      </c>
    </row>
    <row r="4" spans="1:40" ht="11.25" customHeight="1" x14ac:dyDescent="0.2">
      <c r="A4" s="35" t="s">
        <v>21</v>
      </c>
      <c r="B4" s="35" t="s">
        <v>35</v>
      </c>
      <c r="C4" s="35" t="s">
        <v>36</v>
      </c>
      <c r="D4" s="35" t="s">
        <v>39</v>
      </c>
      <c r="E4" s="35" t="s">
        <v>25</v>
      </c>
      <c r="F4" s="35" t="s">
        <v>25</v>
      </c>
      <c r="G4" s="35" t="s">
        <v>25</v>
      </c>
      <c r="H4" s="35" t="s">
        <v>38</v>
      </c>
      <c r="I4" s="55">
        <v>44501</v>
      </c>
      <c r="J4" s="56">
        <f>EFEITO!$J$4*EFEITO!$Y$4</f>
        <v>0</v>
      </c>
      <c r="K4" s="56">
        <f ca="1">EFEITO!$L$4*EFEITO!$Z$4</f>
        <v>25700.826643879849</v>
      </c>
      <c r="L4" s="56">
        <f>EFEITO!$N$4*EFEITO!$AA$4</f>
        <v>40605.190227738982</v>
      </c>
      <c r="M4" s="56">
        <f>$J$4-EFEITO!$K$4*EFEITO!$Y$4</f>
        <v>0</v>
      </c>
      <c r="N4" s="56">
        <f ca="1">$K$4-EFEITO!$M$4*EFEITO!$Z$4</f>
        <v>0</v>
      </c>
      <c r="O4" s="56">
        <f>$L$4-EFEITO!$O$4*EFEITO!$AA$4</f>
        <v>0</v>
      </c>
      <c r="P4" s="39"/>
      <c r="Q4" s="56" t="s">
        <v>484</v>
      </c>
      <c r="R4" s="56">
        <f>SUMIF($B$2:$B$345,$Q$4,$J$2:$J$345)</f>
        <v>0</v>
      </c>
      <c r="S4" s="56">
        <f>SUMIF($B$2:$B$345,$Q$4,$K$2:$K$345)</f>
        <v>0</v>
      </c>
      <c r="T4" s="56">
        <f>SUMIF($B$2:$B$345,$Q$4,$L$2:$L$345)</f>
        <v>0</v>
      </c>
      <c r="U4" s="56">
        <f>SUMIF($B$2:$B$345,$Q$4,$M$2:$M$345)</f>
        <v>0</v>
      </c>
      <c r="V4" s="56">
        <f>SUMIF($B$2:$B$345,$Q$4,$N$2:$N$345)</f>
        <v>0</v>
      </c>
      <c r="W4" s="56">
        <f>SUMIF($B$2:$B$345,$Q$4,$O$2:$O$345)</f>
        <v>0</v>
      </c>
      <c r="X4" s="36">
        <f>$R$4-$U$4</f>
        <v>0</v>
      </c>
      <c r="Y4" s="36">
        <f>$S$4-$V$4</f>
        <v>0</v>
      </c>
      <c r="Z4" s="36">
        <f>$T$4-$W$4</f>
        <v>0</v>
      </c>
      <c r="AA4" s="36">
        <f>SUMIF(EFEITO!$B$2:$B$345,$Q$4,EFEITO!$AE$2:$AE$345)</f>
        <v>0</v>
      </c>
      <c r="AB4" s="36">
        <f>SUMIF(EFEITO!$B$2:$B$345,$Q$4,EFEITO!$AF$2:$AF$345)</f>
        <v>0</v>
      </c>
      <c r="AC4" s="36">
        <f>SUMIF(EFEITO!$B$2:$B$345,$Q$4,EFEITO!$AG$2:$AH$345)</f>
        <v>0</v>
      </c>
      <c r="AD4" s="36">
        <f>SUMIF(SUBSIDIO!$B$2:$B$345,$Q$4,SUBSIDIO!$AD$2:$AD$345)</f>
        <v>0</v>
      </c>
      <c r="AE4" s="36">
        <f>SUMIF(SUBSIDIO!$B$2:$B$345,$Q$4,SUBSIDIO!$AE$2:$AE$345)</f>
        <v>0</v>
      </c>
      <c r="AF4" s="36" t="str">
        <f>IF(ABS($X$4-$AA$4)&lt;0.01,"OK","ERRO")</f>
        <v>OK</v>
      </c>
      <c r="AG4" s="36" t="str">
        <f>IF(ABS($Y$4-$AB$4)&lt;0.01,"OK","ERRO")</f>
        <v>OK</v>
      </c>
      <c r="AH4" s="36" t="str">
        <f>IF(ABS($Z$4-$AC$4)&lt;0.01,"OK","ERRO")</f>
        <v>OK</v>
      </c>
      <c r="AI4" s="36" t="str">
        <f>IF(ABS($U$4-$AD$4)&lt;0.01,"OK","ERRO")</f>
        <v>OK</v>
      </c>
      <c r="AJ4" s="36" t="str">
        <f>IF(ABS(($V$4+$W$4)-$AE$4)&lt;0.01,"OK","ERRO")</f>
        <v>OK</v>
      </c>
    </row>
    <row r="5" spans="1:40" ht="11.25" customHeight="1" x14ac:dyDescent="0.2">
      <c r="A5" s="35" t="s">
        <v>21</v>
      </c>
      <c r="B5" s="35" t="s">
        <v>35</v>
      </c>
      <c r="C5" s="35" t="s">
        <v>36</v>
      </c>
      <c r="D5" s="35" t="s">
        <v>39</v>
      </c>
      <c r="E5" s="35" t="s">
        <v>25</v>
      </c>
      <c r="F5" s="35" t="s">
        <v>25</v>
      </c>
      <c r="G5" s="35" t="s">
        <v>25</v>
      </c>
      <c r="H5" s="35" t="s">
        <v>38</v>
      </c>
      <c r="I5" s="55">
        <v>44531</v>
      </c>
      <c r="J5" s="56">
        <f>EFEITO!$J$5*EFEITO!$Y$5</f>
        <v>0</v>
      </c>
      <c r="K5" s="56">
        <f ca="1">EFEITO!$L$5*EFEITO!$Z$5</f>
        <v>24950.098971621435</v>
      </c>
      <c r="L5" s="56">
        <f>EFEITO!$N$5*EFEITO!$AA$5</f>
        <v>39419.102310658716</v>
      </c>
      <c r="M5" s="56">
        <f>$J$5-EFEITO!$K$5*EFEITO!$Y$5</f>
        <v>0</v>
      </c>
      <c r="N5" s="56">
        <f ca="1">$K$5-EFEITO!$M$5*EFEITO!$Z$5</f>
        <v>0</v>
      </c>
      <c r="O5" s="56">
        <f>$L$5-EFEITO!$O$5*EFEITO!$AA$5</f>
        <v>0</v>
      </c>
      <c r="P5" s="39"/>
      <c r="Q5" s="56" t="s">
        <v>485</v>
      </c>
      <c r="R5" s="56">
        <f>SUMIF($B$2:$B$345,$Q$5,$J$2:$J$345)</f>
        <v>0</v>
      </c>
      <c r="S5" s="56">
        <f>SUMIF($B$2:$B$345,$Q$5,$K$2:$K$345)</f>
        <v>0</v>
      </c>
      <c r="T5" s="56">
        <f>SUMIF($B$2:$B$345,$Q$5,$L$2:$L$345)</f>
        <v>0</v>
      </c>
      <c r="U5" s="56">
        <f>SUMIF($B$2:$B$345,$Q$5,$M$2:$M$345)</f>
        <v>0</v>
      </c>
      <c r="V5" s="56">
        <f>SUMIF($B$2:$B$345,$Q$5,$N$2:$N$345)</f>
        <v>0</v>
      </c>
      <c r="W5" s="56">
        <f>SUMIF($B$2:$B$345,$Q$5,$O$2:$O$345)</f>
        <v>0</v>
      </c>
      <c r="X5" s="36">
        <f>$R$5-$U$5</f>
        <v>0</v>
      </c>
      <c r="Y5" s="36">
        <f>$S$5-$V$5</f>
        <v>0</v>
      </c>
      <c r="Z5" s="36">
        <f>$T$5-$W$5</f>
        <v>0</v>
      </c>
      <c r="AA5" s="36">
        <f>SUMIF(EFEITO!$B$2:$B$345,$Q$5,EFEITO!$AE$2:$AE$345)</f>
        <v>0</v>
      </c>
      <c r="AB5" s="36">
        <f>SUMIF(EFEITO!$B$2:$B$345,$Q$5,EFEITO!$AF$2:$AF$345)</f>
        <v>0</v>
      </c>
      <c r="AC5" s="36">
        <f>SUMIF(EFEITO!$B$2:$B$345,$Q$5,EFEITO!$AG$2:$AH$345)</f>
        <v>0</v>
      </c>
      <c r="AD5" s="36">
        <f>SUMIF(SUBSIDIO!$B$2:$B$345,$Q$5,SUBSIDIO!$AD$2:$AD$345)</f>
        <v>0</v>
      </c>
      <c r="AE5" s="36">
        <f>SUMIF(SUBSIDIO!$B$2:$B$345,$Q$5,SUBSIDIO!$AE$2:$AE$345)</f>
        <v>0</v>
      </c>
      <c r="AF5" s="36" t="str">
        <f>IF(ABS($X$5-$AA$5)&lt;0.01,"OK","ERRO")</f>
        <v>OK</v>
      </c>
      <c r="AG5" s="36" t="str">
        <f>IF(ABS($Y$5-$AB$5)&lt;0.01,"OK","ERRO")</f>
        <v>OK</v>
      </c>
      <c r="AH5" s="36" t="str">
        <f>IF(ABS($Z$5-$AC$5)&lt;0.01,"OK","ERRO")</f>
        <v>OK</v>
      </c>
      <c r="AI5" s="36" t="str">
        <f>IF(ABS($U$5-$AD$5)&lt;0.01,"OK","ERRO")</f>
        <v>OK</v>
      </c>
      <c r="AJ5" s="36" t="str">
        <f>IF(ABS(($V$5+$W$5)-$AE$5)&lt;0.01,"OK","ERRO")</f>
        <v>OK</v>
      </c>
    </row>
    <row r="6" spans="1:40" ht="11.25" customHeight="1" x14ac:dyDescent="0.2">
      <c r="A6" s="35" t="s">
        <v>21</v>
      </c>
      <c r="B6" s="35" t="s">
        <v>35</v>
      </c>
      <c r="C6" s="35" t="s">
        <v>36</v>
      </c>
      <c r="D6" s="35" t="s">
        <v>39</v>
      </c>
      <c r="E6" s="35" t="s">
        <v>25</v>
      </c>
      <c r="F6" s="35" t="s">
        <v>25</v>
      </c>
      <c r="G6" s="35" t="s">
        <v>25</v>
      </c>
      <c r="H6" s="35" t="s">
        <v>38</v>
      </c>
      <c r="I6" s="55">
        <v>44562</v>
      </c>
      <c r="J6" s="56">
        <f>EFEITO!$J$6*EFEITO!$Y$6</f>
        <v>0</v>
      </c>
      <c r="K6" s="56">
        <f ca="1">EFEITO!$L$6*EFEITO!$Z$6</f>
        <v>36091.544672555145</v>
      </c>
      <c r="L6" s="56">
        <f>EFEITO!$N$6*EFEITO!$AA$6</f>
        <v>57021.669277358524</v>
      </c>
      <c r="M6" s="56">
        <f>$J$6-EFEITO!$K$6*EFEITO!$Y$6</f>
        <v>0</v>
      </c>
      <c r="N6" s="56">
        <f ca="1">$K$6-EFEITO!$M$6*EFEITO!$Z$6</f>
        <v>0</v>
      </c>
      <c r="O6" s="56">
        <f>$L$6-EFEITO!$O$6*EFEITO!$AA$6</f>
        <v>0</v>
      </c>
      <c r="P6" s="39"/>
      <c r="Q6" s="56" t="s">
        <v>486</v>
      </c>
      <c r="R6" s="56">
        <f>SUMIF($B$2:$B$345,$Q$6,$J$2:$J$345)</f>
        <v>0</v>
      </c>
      <c r="S6" s="56">
        <f>SUMIF($B$2:$B$345,$Q$6,$K$2:$K$345)</f>
        <v>0</v>
      </c>
      <c r="T6" s="56">
        <f>SUMIF($B$2:$B$345,$Q$6,$L$2:$L$345)</f>
        <v>0</v>
      </c>
      <c r="U6" s="56">
        <f>SUMIF($B$2:$B$345,$Q$6,$M$2:$M$345)</f>
        <v>0</v>
      </c>
      <c r="V6" s="56">
        <f>SUMIF($B$2:$B$345,$Q$6,$N$2:$N$345)</f>
        <v>0</v>
      </c>
      <c r="W6" s="56">
        <f>SUMIF($B$2:$B$345,$Q$6,$O$2:$O$345)</f>
        <v>0</v>
      </c>
      <c r="X6" s="36">
        <f>$R$6-$U$6</f>
        <v>0</v>
      </c>
      <c r="Y6" s="36">
        <f>$S$6-$V$6</f>
        <v>0</v>
      </c>
      <c r="Z6" s="36">
        <f>$T$6-$W$6</f>
        <v>0</v>
      </c>
      <c r="AA6" s="36">
        <f>SUMIF(EFEITO!$B$2:$B$345,$Q$6,EFEITO!$AE$2:$AE$345)</f>
        <v>0</v>
      </c>
      <c r="AB6" s="36">
        <f>SUMIF(EFEITO!$B$2:$B$345,$Q$6,EFEITO!$AF$2:$AF$345)</f>
        <v>0</v>
      </c>
      <c r="AC6" s="36">
        <f>SUMIF(EFEITO!$B$2:$B$345,$Q$6,EFEITO!$AG$2:$AH$345)</f>
        <v>0</v>
      </c>
      <c r="AD6" s="36">
        <f>SUMIF(SUBSIDIO!$B$2:$B$345,$Q$6,SUBSIDIO!$AD$2:$AD$345)</f>
        <v>0</v>
      </c>
      <c r="AE6" s="36">
        <f>SUMIF(SUBSIDIO!$B$2:$B$345,$Q$6,SUBSIDIO!$AE$2:$AE$345)</f>
        <v>0</v>
      </c>
      <c r="AF6" s="36" t="str">
        <f>IF(ABS($X$6-$AA$6)&lt;0.01,"OK","ERRO")</f>
        <v>OK</v>
      </c>
      <c r="AG6" s="36" t="str">
        <f>IF(ABS($Y$6-$AB$6)&lt;0.01,"OK","ERRO")</f>
        <v>OK</v>
      </c>
      <c r="AH6" s="36" t="str">
        <f>IF(ABS($Z$6-$AC$6)&lt;0.01,"OK","ERRO")</f>
        <v>OK</v>
      </c>
      <c r="AI6" s="36" t="str">
        <f>IF(ABS($U$6-$AD$6)&lt;0.01,"OK","ERRO")</f>
        <v>OK</v>
      </c>
      <c r="AJ6" s="36" t="str">
        <f>IF(ABS(($V$6+$W$6)-$AE$6)&lt;0.01,"OK","ERRO")</f>
        <v>OK</v>
      </c>
    </row>
    <row r="7" spans="1:40" ht="11.25" customHeight="1" x14ac:dyDescent="0.2">
      <c r="A7" s="35" t="s">
        <v>21</v>
      </c>
      <c r="B7" s="35" t="s">
        <v>35</v>
      </c>
      <c r="C7" s="35" t="s">
        <v>36</v>
      </c>
      <c r="D7" s="35" t="s">
        <v>39</v>
      </c>
      <c r="E7" s="35" t="s">
        <v>25</v>
      </c>
      <c r="F7" s="35" t="s">
        <v>25</v>
      </c>
      <c r="G7" s="35" t="s">
        <v>25</v>
      </c>
      <c r="H7" s="35" t="s">
        <v>38</v>
      </c>
      <c r="I7" s="55">
        <v>44593</v>
      </c>
      <c r="J7" s="56">
        <f>EFEITO!$J$7*EFEITO!$Y$7</f>
        <v>0</v>
      </c>
      <c r="K7" s="56">
        <f ca="1">EFEITO!$L$7*EFEITO!$Z$7</f>
        <v>21787.181164487021</v>
      </c>
      <c r="L7" s="56">
        <f>EFEITO!$N$7*EFEITO!$AA$7</f>
        <v>34421.95256862972</v>
      </c>
      <c r="M7" s="56">
        <f>$J$7-EFEITO!$K$7*EFEITO!$Y$7</f>
        <v>0</v>
      </c>
      <c r="N7" s="56">
        <f ca="1">$K$7-EFEITO!$M$7*EFEITO!$Z$7</f>
        <v>0</v>
      </c>
      <c r="O7" s="56">
        <f>$L$7-EFEITO!$O$7*EFEITO!$AA$7</f>
        <v>0</v>
      </c>
      <c r="P7" s="39"/>
      <c r="Q7" s="56" t="s">
        <v>35</v>
      </c>
      <c r="R7" s="56">
        <f ca="1">SUMIF($B$2:$B$345,$Q$7,$J$2:$J$345)</f>
        <v>1152183.6134083008</v>
      </c>
      <c r="S7" s="56">
        <f ca="1">SUMIF($B$2:$B$345,$Q$7,$K$2:$K$345)</f>
        <v>1355868.8972755454</v>
      </c>
      <c r="T7" s="56">
        <f>SUMIF($B$2:$B$345,$Q$7,$L$2:$L$345)</f>
        <v>1203155.0201612446</v>
      </c>
      <c r="U7" s="56">
        <f ca="1">SUMIF($B$2:$B$345,$Q$7,$M$2:$M$345)</f>
        <v>681.21578863162176</v>
      </c>
      <c r="V7" s="56">
        <f ca="1">SUMIF($B$2:$B$345,$Q$7,$N$2:$N$345)</f>
        <v>1300.1601760221606</v>
      </c>
      <c r="W7" s="56">
        <f>SUMIF($B$2:$B$345,$Q$7,$O$2:$O$345)</f>
        <v>567.53475462255358</v>
      </c>
      <c r="X7" s="36">
        <f ca="1">$R$7-$U$7</f>
        <v>1151502.3976196691</v>
      </c>
      <c r="Y7" s="36">
        <f ca="1">$S$7-$V$7</f>
        <v>1354568.7370995232</v>
      </c>
      <c r="Z7" s="36">
        <f>$T$7-$W$7</f>
        <v>1202587.4854066221</v>
      </c>
      <c r="AA7" s="36">
        <f ca="1">SUMIF(EFEITO!$B$2:$B$345,$Q$7,EFEITO!$AE$2:$AE$345)</f>
        <v>1151502.397619671</v>
      </c>
      <c r="AB7" s="36">
        <f ca="1">SUMIF(EFEITO!$B$2:$B$345,$Q$7,EFEITO!$AF$2:$AF$345)</f>
        <v>1354568.737099523</v>
      </c>
      <c r="AC7" s="36">
        <f>SUMIF(EFEITO!$B$2:$B$345,$Q$7,EFEITO!$AG$2:$AH$345)</f>
        <v>1202587.4854066232</v>
      </c>
      <c r="AD7" s="36">
        <f ca="1">SUMIF(SUBSIDIO!$B$2:$B$345,$Q$7,SUBSIDIO!$AD$2:$AD$345)</f>
        <v>681.21578863162131</v>
      </c>
      <c r="AE7" s="36">
        <f ca="1">SUMIF(SUBSIDIO!$B$2:$B$345,$Q$7,SUBSIDIO!$AE$2:$AE$345)</f>
        <v>1867.6949306447111</v>
      </c>
      <c r="AF7" s="36" t="str">
        <f ca="1">IF(ABS($X$7-$AA$7)&lt;0.01,"OK","ERRO")</f>
        <v>OK</v>
      </c>
      <c r="AG7" s="36" t="str">
        <f ca="1">IF(ABS($Y$7-$AB$7)&lt;0.01,"OK","ERRO")</f>
        <v>OK</v>
      </c>
      <c r="AH7" s="36" t="str">
        <f>IF(ABS($Z$7-$AC$7)&lt;0.01,"OK","ERRO")</f>
        <v>OK</v>
      </c>
      <c r="AI7" s="36" t="str">
        <f ca="1">IF(ABS($U$7-$AD$7)&lt;0.01,"OK","ERRO")</f>
        <v>OK</v>
      </c>
      <c r="AJ7" s="36" t="str">
        <f ca="1">IF(ABS(($V$7+$W$7)-$AE$7)&lt;0.01,"OK","ERRO")</f>
        <v>OK</v>
      </c>
    </row>
    <row r="8" spans="1:40" ht="11.25" customHeight="1" x14ac:dyDescent="0.2">
      <c r="A8" s="35" t="s">
        <v>21</v>
      </c>
      <c r="B8" s="35" t="s">
        <v>35</v>
      </c>
      <c r="C8" s="35" t="s">
        <v>36</v>
      </c>
      <c r="D8" s="35" t="s">
        <v>39</v>
      </c>
      <c r="E8" s="35" t="s">
        <v>25</v>
      </c>
      <c r="F8" s="35" t="s">
        <v>25</v>
      </c>
      <c r="G8" s="35" t="s">
        <v>25</v>
      </c>
      <c r="H8" s="35" t="s">
        <v>38</v>
      </c>
      <c r="I8" s="55">
        <v>44621</v>
      </c>
      <c r="J8" s="56">
        <f>EFEITO!$J$8*EFEITO!$Y$8</f>
        <v>0</v>
      </c>
      <c r="K8" s="56">
        <f ca="1">EFEITO!$L$8*EFEITO!$Z$8</f>
        <v>27316.68415444436</v>
      </c>
      <c r="L8" s="56">
        <f>EFEITO!$N$8*EFEITO!$AA$8</f>
        <v>43158.11206587826</v>
      </c>
      <c r="M8" s="56">
        <f>$J$8-EFEITO!$K$8*EFEITO!$Y$8</f>
        <v>0</v>
      </c>
      <c r="N8" s="56">
        <f ca="1">$K$8-EFEITO!$M$8*EFEITO!$Z$8</f>
        <v>0</v>
      </c>
      <c r="O8" s="56">
        <f>$L$8-EFEITO!$O$8*EFEITO!$AA$8</f>
        <v>0</v>
      </c>
      <c r="P8" s="39"/>
      <c r="Q8" s="56" t="s">
        <v>487</v>
      </c>
      <c r="R8" s="56">
        <f>SUMIF($B$2:$B$345,$Q$8,$J$2:$J$345)</f>
        <v>0</v>
      </c>
      <c r="S8" s="56">
        <f>SUMIF($B$2:$B$345,$Q$8,$K$2:$K$345)</f>
        <v>0</v>
      </c>
      <c r="T8" s="56">
        <f>SUMIF($B$2:$B$345,$Q$8,$L$2:$L$345)</f>
        <v>0</v>
      </c>
      <c r="U8" s="56">
        <f>SUMIF($B$2:$B$345,$Q$8,$M$2:$M$345)</f>
        <v>0</v>
      </c>
      <c r="V8" s="56">
        <f>SUMIF($B$2:$B$345,$Q$8,$N$2:$N$345)</f>
        <v>0</v>
      </c>
      <c r="W8" s="56">
        <f>SUMIF($B$2:$B$345,$Q$8,$O$2:$O$345)</f>
        <v>0</v>
      </c>
      <c r="X8" s="36">
        <f>$R$8-$U$8</f>
        <v>0</v>
      </c>
      <c r="Y8" s="36">
        <f>$S$8-$V$8</f>
        <v>0</v>
      </c>
      <c r="Z8" s="36">
        <f>$T$8-$W$8</f>
        <v>0</v>
      </c>
      <c r="AA8" s="36">
        <f>SUMIF(EFEITO!$B$2:$B$345,$Q$8,EFEITO!$AE$2:$AE$345)</f>
        <v>0</v>
      </c>
      <c r="AB8" s="36">
        <f>SUMIF(EFEITO!$B$2:$B$345,$Q$8,EFEITO!$AF$2:$AF$345)</f>
        <v>0</v>
      </c>
      <c r="AC8" s="36">
        <f>SUMIF(EFEITO!$B$2:$B$345,$Q$8,EFEITO!$AG$2:$AH$345)</f>
        <v>0</v>
      </c>
      <c r="AD8" s="36">
        <f>SUMIF(SUBSIDIO!$B$2:$B$345,$Q$8,SUBSIDIO!$AD$2:$AD$345)</f>
        <v>0</v>
      </c>
      <c r="AE8" s="36">
        <f>SUMIF(SUBSIDIO!$B$2:$B$345,$Q$8,SUBSIDIO!$AE$2:$AE$345)</f>
        <v>0</v>
      </c>
      <c r="AF8" s="36" t="str">
        <f>IF(ABS($X$8-$AA$8)&lt;0.01,"OK","ERRO")</f>
        <v>OK</v>
      </c>
      <c r="AG8" s="36" t="str">
        <f>IF(ABS($Y$8-$AB$8)&lt;0.01,"OK","ERRO")</f>
        <v>OK</v>
      </c>
      <c r="AH8" s="36" t="str">
        <f>IF(ABS($Z$8-$AC$8)&lt;0.01,"OK","ERRO")</f>
        <v>OK</v>
      </c>
      <c r="AI8" s="36" t="str">
        <f>IF(ABS($U$8-$AD$8)&lt;0.01,"OK","ERRO")</f>
        <v>OK</v>
      </c>
      <c r="AJ8" s="36" t="str">
        <f>IF(ABS(($V$8+$W$8)-$AE$8)&lt;0.01,"OK","ERRO")</f>
        <v>OK</v>
      </c>
    </row>
    <row r="9" spans="1:40" ht="11.25" customHeight="1" x14ac:dyDescent="0.2">
      <c r="A9" s="35" t="s">
        <v>21</v>
      </c>
      <c r="B9" s="35" t="s">
        <v>35</v>
      </c>
      <c r="C9" s="35" t="s">
        <v>36</v>
      </c>
      <c r="D9" s="35" t="s">
        <v>39</v>
      </c>
      <c r="E9" s="35" t="s">
        <v>25</v>
      </c>
      <c r="F9" s="35" t="s">
        <v>25</v>
      </c>
      <c r="G9" s="35" t="s">
        <v>25</v>
      </c>
      <c r="H9" s="35" t="s">
        <v>38</v>
      </c>
      <c r="I9" s="55">
        <v>44652</v>
      </c>
      <c r="J9" s="56">
        <f>EFEITO!$J$9*EFEITO!$Y$9</f>
        <v>0</v>
      </c>
      <c r="K9" s="56">
        <f ca="1">EFEITO!$L$9*EFEITO!$Z$9</f>
        <v>19535.777719541755</v>
      </c>
      <c r="L9" s="56">
        <f>EFEITO!$N$9*EFEITO!$AA$9</f>
        <v>30864.920476700532</v>
      </c>
      <c r="M9" s="56">
        <f>$J$9-EFEITO!$K$9*EFEITO!$Y$9</f>
        <v>0</v>
      </c>
      <c r="N9" s="56">
        <f ca="1">$K$9-EFEITO!$M$9*EFEITO!$Z$9</f>
        <v>0</v>
      </c>
      <c r="O9" s="56">
        <f>$L$9-EFEITO!$O$9*EFEITO!$AA$9</f>
        <v>0</v>
      </c>
      <c r="P9" s="39"/>
      <c r="Q9" s="56" t="s">
        <v>22</v>
      </c>
      <c r="R9" s="56">
        <f>SUMIF($B$2:$B$345,$Q$9,$J$2:$J$345)</f>
        <v>0</v>
      </c>
      <c r="S9" s="56">
        <f ca="1">SUMIF($B$2:$B$345,$Q$9,$K$2:$K$345)</f>
        <v>5644229.7218003171</v>
      </c>
      <c r="T9" s="56">
        <f>SUMIF($B$2:$B$345,$Q$9,$L$2:$L$345)</f>
        <v>1661105.5048093526</v>
      </c>
      <c r="U9" s="56">
        <f>SUMIF($B$2:$B$345,$Q$9,$M$2:$M$345)</f>
        <v>0</v>
      </c>
      <c r="V9" s="56">
        <f ca="1">SUMIF($B$2:$B$345,$Q$9,$N$2:$N$345)</f>
        <v>78141.324101410195</v>
      </c>
      <c r="W9" s="56">
        <f>SUMIF($B$2:$B$345,$Q$9,$O$2:$O$345)</f>
        <v>28424.818631504724</v>
      </c>
      <c r="X9" s="36">
        <f>$R$9-$U$9</f>
        <v>0</v>
      </c>
      <c r="Y9" s="36">
        <f ca="1">$S$9-$V$9</f>
        <v>5566088.3976989072</v>
      </c>
      <c r="Z9" s="36">
        <f>$T$9-$W$9</f>
        <v>1632680.6861778479</v>
      </c>
      <c r="AA9" s="36">
        <f>SUMIF(EFEITO!$B$2:$B$345,$Q$9,EFEITO!$AE$2:$AE$345)</f>
        <v>0</v>
      </c>
      <c r="AB9" s="36">
        <f ca="1">SUMIF(EFEITO!$B$2:$B$345,$Q$9,EFEITO!$AF$2:$AF$345)</f>
        <v>5566088.3976989072</v>
      </c>
      <c r="AC9" s="36">
        <f>SUMIF(EFEITO!$B$2:$B$345,$Q$9,EFEITO!$AG$2:$AH$345)</f>
        <v>1632680.6861778479</v>
      </c>
      <c r="AD9" s="36">
        <f>SUMIF(SUBSIDIO!$B$2:$B$345,$Q$9,SUBSIDIO!$AD$2:$AD$345)</f>
        <v>0</v>
      </c>
      <c r="AE9" s="36">
        <f ca="1">SUMIF(SUBSIDIO!$B$2:$B$345,$Q$9,SUBSIDIO!$AE$2:$AE$345)</f>
        <v>106566.14273291492</v>
      </c>
      <c r="AF9" s="36" t="str">
        <f>IF(ABS($X$9-$AA$9)&lt;0.01,"OK","ERRO")</f>
        <v>OK</v>
      </c>
      <c r="AG9" s="36" t="str">
        <f ca="1">IF(ABS($Y$9-$AB$9)&lt;0.01,"OK","ERRO")</f>
        <v>OK</v>
      </c>
      <c r="AH9" s="36" t="str">
        <f>IF(ABS($Z$9-$AC$9)&lt;0.01,"OK","ERRO")</f>
        <v>OK</v>
      </c>
      <c r="AI9" s="36" t="str">
        <f>IF(ABS($U$9-$AD$9)&lt;0.01,"OK","ERRO")</f>
        <v>OK</v>
      </c>
      <c r="AJ9" s="36" t="str">
        <f ca="1">IF(ABS(($V$9+$W$9)-$AE$9)&lt;0.01,"OK","ERRO")</f>
        <v>OK</v>
      </c>
    </row>
    <row r="10" spans="1:40" ht="11.25" customHeight="1" x14ac:dyDescent="0.2">
      <c r="A10" s="35" t="s">
        <v>21</v>
      </c>
      <c r="B10" s="35" t="s">
        <v>35</v>
      </c>
      <c r="C10" s="35" t="s">
        <v>36</v>
      </c>
      <c r="D10" s="35" t="s">
        <v>39</v>
      </c>
      <c r="E10" s="35" t="s">
        <v>25</v>
      </c>
      <c r="F10" s="35" t="s">
        <v>25</v>
      </c>
      <c r="G10" s="35" t="s">
        <v>25</v>
      </c>
      <c r="H10" s="35" t="s">
        <v>38</v>
      </c>
      <c r="I10" s="55">
        <v>44682</v>
      </c>
      <c r="J10" s="56">
        <f>EFEITO!$J$10*EFEITO!$Y$10</f>
        <v>0</v>
      </c>
      <c r="K10" s="56">
        <f ca="1">EFEITO!$L$10*EFEITO!$Z$10</f>
        <v>18693.645250219688</v>
      </c>
      <c r="L10" s="56">
        <f>EFEITO!$N$10*EFEITO!$AA$10</f>
        <v>29534.420505334012</v>
      </c>
      <c r="M10" s="56">
        <f>$J$10-EFEITO!$K$10*EFEITO!$Y$10</f>
        <v>0</v>
      </c>
      <c r="N10" s="56">
        <f ca="1">$K$10-EFEITO!$M$10*EFEITO!$Z$10</f>
        <v>0</v>
      </c>
      <c r="O10" s="56">
        <f>$L$10-EFEITO!$O$10*EFEITO!$AA$10</f>
        <v>0</v>
      </c>
      <c r="P10" s="39"/>
      <c r="Q10" s="56" t="s">
        <v>40</v>
      </c>
      <c r="R10" s="56">
        <f>SUMIF($B$2:$B$345,$Q$10,$J$2:$J$345)</f>
        <v>0</v>
      </c>
      <c r="S10" s="56">
        <f ca="1">SUMIF($B$2:$B$345,$Q$10,$K$2:$K$345)</f>
        <v>1739272.5399700226</v>
      </c>
      <c r="T10" s="56">
        <f>SUMIF($B$2:$B$345,$Q$10,$L$2:$L$345)</f>
        <v>505506.85211574414</v>
      </c>
      <c r="U10" s="56">
        <f>SUMIF($B$2:$B$345,$Q$10,$M$2:$M$345)</f>
        <v>0</v>
      </c>
      <c r="V10" s="56">
        <f ca="1">SUMIF($B$2:$B$345,$Q$10,$N$2:$N$345)</f>
        <v>111238.25499623349</v>
      </c>
      <c r="W10" s="56">
        <f>SUMIF($B$2:$B$345,$Q$10,$O$2:$O$345)</f>
        <v>32330.585820071436</v>
      </c>
      <c r="X10" s="36">
        <f>$R$10-$U$10</f>
        <v>0</v>
      </c>
      <c r="Y10" s="36">
        <f ca="1">$S$10-$V$10</f>
        <v>1628034.2849737892</v>
      </c>
      <c r="Z10" s="36">
        <f>$T$10-$W$10</f>
        <v>473176.26629567269</v>
      </c>
      <c r="AA10" s="36">
        <f>SUMIF(EFEITO!$B$2:$B$345,$Q$10,EFEITO!$AE$2:$AE$345)</f>
        <v>0</v>
      </c>
      <c r="AB10" s="36">
        <f ca="1">SUMIF(EFEITO!$B$2:$B$345,$Q$10,EFEITO!$AF$2:$AF$345)</f>
        <v>1628034.2849737899</v>
      </c>
      <c r="AC10" s="36">
        <f>SUMIF(EFEITO!$B$2:$B$345,$Q$10,EFEITO!$AG$2:$AH$345)</f>
        <v>473176.2662956728</v>
      </c>
      <c r="AD10" s="36">
        <f>SUMIF(SUBSIDIO!$B$2:$B$345,$Q$10,SUBSIDIO!$AD$2:$AD$345)</f>
        <v>0</v>
      </c>
      <c r="AE10" s="36">
        <f ca="1">SUMIF(SUBSIDIO!$B$2:$B$345,$Q$10,SUBSIDIO!$AE$2:$AE$345)</f>
        <v>143568.84081630496</v>
      </c>
      <c r="AF10" s="36" t="str">
        <f>IF(ABS($X$10-$AA$10)&lt;0.01,"OK","ERRO")</f>
        <v>OK</v>
      </c>
      <c r="AG10" s="36" t="str">
        <f ca="1">IF(ABS($Y$10-$AB$10)&lt;0.01,"OK","ERRO")</f>
        <v>OK</v>
      </c>
      <c r="AH10" s="36" t="str">
        <f>IF(ABS($Z$10-$AC$10)&lt;0.01,"OK","ERRO")</f>
        <v>OK</v>
      </c>
      <c r="AI10" s="36" t="str">
        <f>IF(ABS($U$10-$AD$10)&lt;0.01,"OK","ERRO")</f>
        <v>OK</v>
      </c>
      <c r="AJ10" s="36" t="str">
        <f ca="1">IF(ABS(($V$10+$W$10)-$AE$10)&lt;0.01,"OK","ERRO")</f>
        <v>OK</v>
      </c>
    </row>
    <row r="11" spans="1:40" ht="11.25" customHeight="1" x14ac:dyDescent="0.2">
      <c r="A11" s="35" t="s">
        <v>21</v>
      </c>
      <c r="B11" s="35" t="s">
        <v>35</v>
      </c>
      <c r="C11" s="35" t="s">
        <v>36</v>
      </c>
      <c r="D11" s="35" t="s">
        <v>39</v>
      </c>
      <c r="E11" s="35" t="s">
        <v>25</v>
      </c>
      <c r="F11" s="35" t="s">
        <v>25</v>
      </c>
      <c r="G11" s="35" t="s">
        <v>25</v>
      </c>
      <c r="H11" s="35" t="s">
        <v>38</v>
      </c>
      <c r="I11" s="55">
        <v>44713</v>
      </c>
      <c r="J11" s="56">
        <f>EFEITO!$J$11*EFEITO!$Y$11</f>
        <v>0</v>
      </c>
      <c r="K11" s="56">
        <f ca="1">EFEITO!$L$11*EFEITO!$Z$11</f>
        <v>17881.72118930885</v>
      </c>
      <c r="L11" s="56">
        <f>EFEITO!$N$11*EFEITO!$AA$11</f>
        <v>28251.647332292367</v>
      </c>
      <c r="M11" s="56">
        <f>$J$11-EFEITO!$K$11*EFEITO!$Y$11</f>
        <v>0</v>
      </c>
      <c r="N11" s="56">
        <f ca="1">$K$11-EFEITO!$M$11*EFEITO!$Z$11</f>
        <v>0</v>
      </c>
      <c r="O11" s="56">
        <f>$L$11-EFEITO!$O$11*EFEITO!$AA$11</f>
        <v>0</v>
      </c>
      <c r="P11" s="39"/>
      <c r="Q11" s="56" t="s">
        <v>33</v>
      </c>
      <c r="R11" s="56">
        <f>SUMIF($B$2:$B$345,$Q$11,$J$2:$J$345)</f>
        <v>0</v>
      </c>
      <c r="S11" s="56">
        <f ca="1">SUMIF($B$2:$B$345,$Q$11,$K$2:$K$345)</f>
        <v>2495530.4798487532</v>
      </c>
      <c r="T11" s="56">
        <f>SUMIF($B$2:$B$345,$Q$11,$L$2:$L$345)</f>
        <v>725307.69516373717</v>
      </c>
      <c r="U11" s="56">
        <f>SUMIF($B$2:$B$345,$Q$11,$M$2:$M$345)</f>
        <v>0</v>
      </c>
      <c r="V11" s="56">
        <f ca="1">SUMIF($B$2:$B$345,$Q$11,$N$2:$N$345)</f>
        <v>1560.520653640262</v>
      </c>
      <c r="W11" s="56">
        <f>SUMIF($B$2:$B$345,$Q$11,$O$2:$O$345)</f>
        <v>453.55392277790099</v>
      </c>
      <c r="X11" s="36">
        <f>$R$11-$U$11</f>
        <v>0</v>
      </c>
      <c r="Y11" s="36">
        <f ca="1">$S$11-$V$11</f>
        <v>2493969.9591951128</v>
      </c>
      <c r="Z11" s="36">
        <f>$T$11-$W$11</f>
        <v>724854.14124095929</v>
      </c>
      <c r="AA11" s="36">
        <f>SUMIF(EFEITO!$B$2:$B$345,$Q$11,EFEITO!$AE$2:$AE$345)</f>
        <v>0</v>
      </c>
      <c r="AB11" s="36">
        <f ca="1">SUMIF(EFEITO!$B$2:$B$345,$Q$11,EFEITO!$AF$2:$AF$345)</f>
        <v>2493969.9591951128</v>
      </c>
      <c r="AC11" s="36">
        <f>SUMIF(EFEITO!$B$2:$B$345,$Q$11,EFEITO!$AG$2:$AH$345)</f>
        <v>724854.14124095929</v>
      </c>
      <c r="AD11" s="36">
        <f>SUMIF(SUBSIDIO!$B$2:$B$345,$Q$11,SUBSIDIO!$AD$2:$AD$345)</f>
        <v>0</v>
      </c>
      <c r="AE11" s="36">
        <f ca="1">SUMIF(SUBSIDIO!$B$2:$B$345,$Q$11,SUBSIDIO!$AE$2:$AE$345)</f>
        <v>2014.0745764181574</v>
      </c>
      <c r="AF11" s="36" t="str">
        <f>IF(ABS($X$11-$AA$11)&lt;0.01,"OK","ERRO")</f>
        <v>OK</v>
      </c>
      <c r="AG11" s="36" t="str">
        <f ca="1">IF(ABS($Y$11-$AB$11)&lt;0.01,"OK","ERRO")</f>
        <v>OK</v>
      </c>
      <c r="AH11" s="36" t="str">
        <f>IF(ABS($Z$11-$AC$11)&lt;0.01,"OK","ERRO")</f>
        <v>OK</v>
      </c>
      <c r="AI11" s="36" t="str">
        <f>IF(ABS($U$11-$AD$11)&lt;0.01,"OK","ERRO")</f>
        <v>OK</v>
      </c>
      <c r="AJ11" s="36" t="str">
        <f ca="1">IF(ABS(($V$11+$W$11)-$AE$11)&lt;0.01,"OK","ERRO")</f>
        <v>OK</v>
      </c>
    </row>
    <row r="12" spans="1:40" ht="11.25" customHeight="1" x14ac:dyDescent="0.2">
      <c r="A12" s="35" t="s">
        <v>21</v>
      </c>
      <c r="B12" s="35" t="s">
        <v>35</v>
      </c>
      <c r="C12" s="35" t="s">
        <v>36</v>
      </c>
      <c r="D12" s="35" t="s">
        <v>39</v>
      </c>
      <c r="E12" s="35" t="s">
        <v>25</v>
      </c>
      <c r="F12" s="35" t="s">
        <v>25</v>
      </c>
      <c r="G12" s="35" t="s">
        <v>25</v>
      </c>
      <c r="H12" s="35" t="s">
        <v>38</v>
      </c>
      <c r="I12" s="55">
        <v>44743</v>
      </c>
      <c r="J12" s="56">
        <f>EFEITO!$J$12*EFEITO!$Y$12</f>
        <v>0</v>
      </c>
      <c r="K12" s="56">
        <f ca="1">EFEITO!$L$12*EFEITO!$Z$12</f>
        <v>20678.045343401191</v>
      </c>
      <c r="L12" s="56">
        <f>EFEITO!$N$12*EFEITO!$AA$12</f>
        <v>32669.60928303684</v>
      </c>
      <c r="M12" s="56">
        <f>$J$12-EFEITO!$K$12*EFEITO!$Y$12</f>
        <v>0</v>
      </c>
      <c r="N12" s="56">
        <f ca="1">$K$12-EFEITO!$M$12*EFEITO!$Z$12</f>
        <v>0</v>
      </c>
      <c r="O12" s="56">
        <f>$L$12-EFEITO!$O$12*EFEITO!$AA$12</f>
        <v>0</v>
      </c>
      <c r="P12" s="39"/>
      <c r="Q12" s="56" t="s">
        <v>43</v>
      </c>
      <c r="R12" s="56">
        <f>SUMIF($B$2:$B$345,$Q$12,$J$2:$J$345)</f>
        <v>0</v>
      </c>
      <c r="S12" s="56">
        <f ca="1">SUMIF($B$2:$B$345,$Q$12,$K$2:$K$345)</f>
        <v>569975.27286327875</v>
      </c>
      <c r="T12" s="56">
        <f>SUMIF($B$2:$B$345,$Q$12,$L$2:$L$345)</f>
        <v>165659.14734323029</v>
      </c>
      <c r="U12" s="56">
        <f>SUMIF($B$2:$B$345,$Q$12,$M$2:$M$345)</f>
        <v>0</v>
      </c>
      <c r="V12" s="56">
        <f ca="1">SUMIF($B$2:$B$345,$Q$12,$N$2:$N$345)</f>
        <v>0</v>
      </c>
      <c r="W12" s="56">
        <f>SUMIF($B$2:$B$345,$Q$12,$O$2:$O$345)</f>
        <v>0</v>
      </c>
      <c r="X12" s="36">
        <f>$R$12-$U$12</f>
        <v>0</v>
      </c>
      <c r="Y12" s="36">
        <f ca="1">$S$12-$V$12</f>
        <v>569975.27286327875</v>
      </c>
      <c r="Z12" s="36">
        <f>$T$12-$W$12</f>
        <v>165659.14734323029</v>
      </c>
      <c r="AA12" s="36">
        <f>SUMIF(EFEITO!$B$2:$B$345,$Q$12,EFEITO!$AE$2:$AE$345)</f>
        <v>0</v>
      </c>
      <c r="AB12" s="36">
        <f ca="1">SUMIF(EFEITO!$B$2:$B$345,$Q$12,EFEITO!$AF$2:$AF$345)</f>
        <v>569975.27286327875</v>
      </c>
      <c r="AC12" s="36">
        <f>SUMIF(EFEITO!$B$2:$B$345,$Q$12,EFEITO!$AG$2:$AH$345)</f>
        <v>165659.14734323029</v>
      </c>
      <c r="AD12" s="36">
        <f>SUMIF(SUBSIDIO!$B$2:$B$345,$Q$12,SUBSIDIO!$AD$2:$AD$345)</f>
        <v>0</v>
      </c>
      <c r="AE12" s="36">
        <f>SUMIF(SUBSIDIO!$B$2:$B$345,$Q$12,SUBSIDIO!$AE$2:$AE$345)</f>
        <v>0</v>
      </c>
      <c r="AF12" s="36" t="str">
        <f>IF(ABS($X$12-$AA$12)&lt;0.01,"OK","ERRO")</f>
        <v>OK</v>
      </c>
      <c r="AG12" s="36" t="str">
        <f ca="1">IF(ABS($Y$12-$AB$12)&lt;0.01,"OK","ERRO")</f>
        <v>OK</v>
      </c>
      <c r="AH12" s="36" t="str">
        <f>IF(ABS($Z$12-$AC$12)&lt;0.01,"OK","ERRO")</f>
        <v>OK</v>
      </c>
      <c r="AI12" s="36" t="str">
        <f>IF(ABS($U$12-$AD$12)&lt;0.01,"OK","ERRO")</f>
        <v>OK</v>
      </c>
      <c r="AJ12" s="36" t="str">
        <f ca="1">IF(ABS(($V$12+$W$12)-$AE$12)&lt;0.01,"OK","ERRO")</f>
        <v>OK</v>
      </c>
    </row>
    <row r="13" spans="1:40" ht="11.25" customHeight="1" x14ac:dyDescent="0.2">
      <c r="A13" s="35" t="s">
        <v>21</v>
      </c>
      <c r="B13" s="35" t="s">
        <v>35</v>
      </c>
      <c r="C13" s="35" t="s">
        <v>36</v>
      </c>
      <c r="D13" s="35" t="s">
        <v>39</v>
      </c>
      <c r="E13" s="35" t="s">
        <v>25</v>
      </c>
      <c r="F13" s="35" t="s">
        <v>25</v>
      </c>
      <c r="G13" s="35" t="s">
        <v>25</v>
      </c>
      <c r="H13" s="35" t="s">
        <v>38</v>
      </c>
      <c r="I13" s="55">
        <v>44774</v>
      </c>
      <c r="J13" s="56">
        <f>EFEITO!$J$13*EFEITO!$Y$13</f>
        <v>0</v>
      </c>
      <c r="K13" s="56">
        <f ca="1">EFEITO!$L$13*EFEITO!$Z$13</f>
        <v>22195.77424986858</v>
      </c>
      <c r="L13" s="56">
        <f>EFEITO!$N$13*EFEITO!$AA$13</f>
        <v>35067.49600532723</v>
      </c>
      <c r="M13" s="56">
        <f>$J$13-EFEITO!$K$13*EFEITO!$Y$13</f>
        <v>0</v>
      </c>
      <c r="N13" s="56">
        <f ca="1">$K$13-EFEITO!$M$13*EFEITO!$Z$13</f>
        <v>0</v>
      </c>
      <c r="O13" s="56">
        <f>$L$13-EFEITO!$O$13*EFEITO!$AA$13</f>
        <v>0</v>
      </c>
      <c r="P13" s="39"/>
      <c r="Q13" s="56" t="s">
        <v>80</v>
      </c>
      <c r="R13" s="56">
        <f>SUMIF($B$2:$B$345,$Q$13,$J$2:$J$345)</f>
        <v>0</v>
      </c>
      <c r="S13" s="56">
        <f>SUMIF($B$2:$B$345,$Q$13,$K$2:$K$345)</f>
        <v>0</v>
      </c>
      <c r="T13" s="56">
        <f>SUMIF($B$2:$B$345,$Q$13,$L$2:$L$345)</f>
        <v>0</v>
      </c>
      <c r="U13" s="56">
        <f>SUMIF($B$2:$B$345,$Q$13,$M$2:$M$345)</f>
        <v>0</v>
      </c>
      <c r="V13" s="56">
        <f>SUMIF($B$2:$B$345,$Q$13,$N$2:$N$345)</f>
        <v>0</v>
      </c>
      <c r="W13" s="56">
        <f>SUMIF($B$2:$B$345,$Q$13,$O$2:$O$345)</f>
        <v>0</v>
      </c>
      <c r="X13" s="36">
        <f>$R$13-$U$13</f>
        <v>0</v>
      </c>
      <c r="Y13" s="36">
        <f>$S$13-$V$13</f>
        <v>0</v>
      </c>
      <c r="Z13" s="36">
        <f>$T$13-$W$13</f>
        <v>0</v>
      </c>
      <c r="AA13" s="36">
        <f>SUMIF(EFEITO!$B$2:$B$345,$Q$13,EFEITO!$AE$2:$AE$345)</f>
        <v>0</v>
      </c>
      <c r="AB13" s="36">
        <f>SUMIF(EFEITO!$B$2:$B$345,$Q$13,EFEITO!$AF$2:$AF$345)</f>
        <v>0</v>
      </c>
      <c r="AC13" s="36">
        <f>SUMIF(EFEITO!$B$2:$B$345,$Q$13,EFEITO!$AG$2:$AH$345)</f>
        <v>0</v>
      </c>
      <c r="AD13" s="36">
        <f>SUMIF(SUBSIDIO!$B$2:$B$345,$Q$13,SUBSIDIO!$AD$2:$AD$345)</f>
        <v>0</v>
      </c>
      <c r="AE13" s="36">
        <f>SUMIF(SUBSIDIO!$B$2:$B$345,$Q$13,SUBSIDIO!$AE$2:$AE$345)</f>
        <v>0</v>
      </c>
      <c r="AF13" s="36" t="str">
        <f>IF(ABS($X$13-$AA$13)&lt;0.01,"OK","ERRO")</f>
        <v>OK</v>
      </c>
      <c r="AG13" s="36" t="str">
        <f>IF(ABS($Y$13-$AB$13)&lt;0.01,"OK","ERRO")</f>
        <v>OK</v>
      </c>
      <c r="AH13" s="36" t="str">
        <f>IF(ABS($Z$13-$AC$13)&lt;0.01,"OK","ERRO")</f>
        <v>OK</v>
      </c>
      <c r="AI13" s="36" t="str">
        <f>IF(ABS($U$13-$AD$13)&lt;0.01,"OK","ERRO")</f>
        <v>OK</v>
      </c>
      <c r="AJ13" s="36" t="str">
        <f>IF(ABS(($V$13+$W$13)-$AE$13)&lt;0.01,"OK","ERRO")</f>
        <v>OK</v>
      </c>
    </row>
    <row r="14" spans="1:40" ht="11.25" customHeight="1" x14ac:dyDescent="0.2">
      <c r="A14" s="35" t="s">
        <v>21</v>
      </c>
      <c r="B14" s="35" t="s">
        <v>35</v>
      </c>
      <c r="C14" s="35" t="s">
        <v>36</v>
      </c>
      <c r="D14" s="35" t="s">
        <v>39</v>
      </c>
      <c r="E14" s="35" t="s">
        <v>25</v>
      </c>
      <c r="F14" s="35" t="s">
        <v>25</v>
      </c>
      <c r="G14" s="35" t="s">
        <v>25</v>
      </c>
      <c r="H14" s="35" t="s">
        <v>25</v>
      </c>
      <c r="I14" s="55">
        <v>44440</v>
      </c>
      <c r="J14" s="56">
        <f ca="1">EFEITO!$J$14*EFEITO!$Y$14</f>
        <v>24702.673547348691</v>
      </c>
      <c r="K14" s="56">
        <f>EFEITO!$L$14*EFEITO!$Z$14</f>
        <v>0</v>
      </c>
      <c r="L14" s="56">
        <f>EFEITO!$N$14*EFEITO!$AA$14</f>
        <v>0</v>
      </c>
      <c r="M14" s="56">
        <f ca="1">$J$14-EFEITO!$K$14*EFEITO!$Y$14</f>
        <v>0</v>
      </c>
      <c r="N14" s="56">
        <f>$K$14-EFEITO!$M$14*EFEITO!$Z$14</f>
        <v>0</v>
      </c>
      <c r="O14" s="56">
        <f>$L$14-EFEITO!$O$14*EFEITO!$AA$14</f>
        <v>0</v>
      </c>
      <c r="P14" s="39"/>
      <c r="Q14" s="39"/>
      <c r="R14" s="39"/>
      <c r="S14" s="39"/>
      <c r="T14" s="39"/>
      <c r="U14" s="39"/>
      <c r="V14" s="39"/>
      <c r="W14" s="39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35" t="s">
        <v>21</v>
      </c>
      <c r="B15" s="35" t="s">
        <v>35</v>
      </c>
      <c r="C15" s="35" t="s">
        <v>36</v>
      </c>
      <c r="D15" s="35" t="s">
        <v>39</v>
      </c>
      <c r="E15" s="35" t="s">
        <v>25</v>
      </c>
      <c r="F15" s="35" t="s">
        <v>25</v>
      </c>
      <c r="G15" s="35" t="s">
        <v>25</v>
      </c>
      <c r="H15" s="35" t="s">
        <v>25</v>
      </c>
      <c r="I15" s="55">
        <v>44470</v>
      </c>
      <c r="J15" s="56">
        <f ca="1">EFEITO!$J$15*EFEITO!$Y$15</f>
        <v>24461.839682680948</v>
      </c>
      <c r="K15" s="56">
        <f>EFEITO!$L$15*EFEITO!$Z$15</f>
        <v>0</v>
      </c>
      <c r="L15" s="56">
        <f>EFEITO!$N$15*EFEITO!$AA$15</f>
        <v>0</v>
      </c>
      <c r="M15" s="56">
        <f ca="1">$J$15-EFEITO!$K$15*EFEITO!$Y$15</f>
        <v>0</v>
      </c>
      <c r="N15" s="56">
        <f>$K$15-EFEITO!$M$15*EFEITO!$Z$15</f>
        <v>0</v>
      </c>
      <c r="O15" s="56">
        <f>$L$15-EFEITO!$O$15*EFEITO!$AA$15</f>
        <v>0</v>
      </c>
      <c r="P15" s="39"/>
      <c r="Q15" s="39"/>
      <c r="R15" s="39"/>
      <c r="S15" s="39"/>
      <c r="T15" s="39"/>
      <c r="U15" s="39"/>
      <c r="V15" s="39"/>
      <c r="W15" s="39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35" t="s">
        <v>21</v>
      </c>
      <c r="B16" s="35" t="s">
        <v>35</v>
      </c>
      <c r="C16" s="35" t="s">
        <v>36</v>
      </c>
      <c r="D16" s="35" t="s">
        <v>39</v>
      </c>
      <c r="E16" s="35" t="s">
        <v>25</v>
      </c>
      <c r="F16" s="35" t="s">
        <v>25</v>
      </c>
      <c r="G16" s="35" t="s">
        <v>25</v>
      </c>
      <c r="H16" s="35" t="s">
        <v>25</v>
      </c>
      <c r="I16" s="55">
        <v>44501</v>
      </c>
      <c r="J16" s="56">
        <f ca="1">EFEITO!$J$16*EFEITO!$Y$16</f>
        <v>33716.741053484286</v>
      </c>
      <c r="K16" s="56">
        <f>EFEITO!$L$16*EFEITO!$Z$16</f>
        <v>0</v>
      </c>
      <c r="L16" s="56">
        <f>EFEITO!$N$16*EFEITO!$AA$16</f>
        <v>0</v>
      </c>
      <c r="M16" s="56">
        <f ca="1">$J$16-EFEITO!$K$16*EFEITO!$Y$16</f>
        <v>0</v>
      </c>
      <c r="N16" s="56">
        <f>$K$16-EFEITO!$M$16*EFEITO!$Z$16</f>
        <v>0</v>
      </c>
      <c r="O16" s="56">
        <f>$L$16-EFEITO!$O$16*EFEITO!$AA$16</f>
        <v>0</v>
      </c>
      <c r="P16" s="39"/>
      <c r="Q16" s="39"/>
      <c r="R16" s="39"/>
      <c r="S16" s="39"/>
      <c r="T16" s="39"/>
      <c r="U16" s="39"/>
      <c r="V16" s="39"/>
      <c r="W16" s="39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35" t="s">
        <v>21</v>
      </c>
      <c r="B17" s="35" t="s">
        <v>35</v>
      </c>
      <c r="C17" s="35" t="s">
        <v>36</v>
      </c>
      <c r="D17" s="35" t="s">
        <v>39</v>
      </c>
      <c r="E17" s="35" t="s">
        <v>25</v>
      </c>
      <c r="F17" s="35" t="s">
        <v>25</v>
      </c>
      <c r="G17" s="35" t="s">
        <v>25</v>
      </c>
      <c r="H17" s="35" t="s">
        <v>25</v>
      </c>
      <c r="I17" s="55">
        <v>44531</v>
      </c>
      <c r="J17" s="56">
        <f ca="1">EFEITO!$J$17*EFEITO!$Y$17</f>
        <v>34301.623296248807</v>
      </c>
      <c r="K17" s="56">
        <f>EFEITO!$L$17*EFEITO!$Z$17</f>
        <v>0</v>
      </c>
      <c r="L17" s="56">
        <f>EFEITO!$N$17*EFEITO!$AA$17</f>
        <v>0</v>
      </c>
      <c r="M17" s="56">
        <f ca="1">$J$17-EFEITO!$K$17*EFEITO!$Y$17</f>
        <v>0</v>
      </c>
      <c r="N17" s="56">
        <f>$K$17-EFEITO!$M$17*EFEITO!$Z$17</f>
        <v>0</v>
      </c>
      <c r="O17" s="56">
        <f>$L$17-EFEITO!$O$17*EFEITO!$AA$17</f>
        <v>0</v>
      </c>
      <c r="P17" s="39"/>
      <c r="Q17" s="39"/>
      <c r="R17" s="39"/>
      <c r="S17" s="39"/>
      <c r="T17" s="39"/>
      <c r="U17" s="39"/>
      <c r="V17" s="39"/>
      <c r="W17" s="39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35" t="s">
        <v>21</v>
      </c>
      <c r="B18" s="35" t="s">
        <v>35</v>
      </c>
      <c r="C18" s="35" t="s">
        <v>36</v>
      </c>
      <c r="D18" s="35" t="s">
        <v>39</v>
      </c>
      <c r="E18" s="35" t="s">
        <v>25</v>
      </c>
      <c r="F18" s="35" t="s">
        <v>25</v>
      </c>
      <c r="G18" s="35" t="s">
        <v>25</v>
      </c>
      <c r="H18" s="35" t="s">
        <v>25</v>
      </c>
      <c r="I18" s="55">
        <v>44562</v>
      </c>
      <c r="J18" s="56">
        <f ca="1">EFEITO!$J$18*EFEITO!$Y$18</f>
        <v>36847.581294164971</v>
      </c>
      <c r="K18" s="56">
        <f>EFEITO!$L$18*EFEITO!$Z$18</f>
        <v>0</v>
      </c>
      <c r="L18" s="56">
        <f>EFEITO!$N$18*EFEITO!$AA$18</f>
        <v>0</v>
      </c>
      <c r="M18" s="56">
        <f ca="1">$J$18-EFEITO!$K$18*EFEITO!$Y$18</f>
        <v>0</v>
      </c>
      <c r="N18" s="56">
        <f>$K$18-EFEITO!$M$18*EFEITO!$Z$18</f>
        <v>0</v>
      </c>
      <c r="O18" s="56">
        <f>$L$18-EFEITO!$O$18*EFEITO!$AA$18</f>
        <v>0</v>
      </c>
      <c r="P18" s="39"/>
      <c r="Q18" s="39"/>
      <c r="R18" s="39"/>
      <c r="S18" s="39"/>
      <c r="T18" s="39"/>
      <c r="U18" s="39"/>
      <c r="V18" s="39"/>
      <c r="W18" s="39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35" t="s">
        <v>21</v>
      </c>
      <c r="B19" s="35" t="s">
        <v>35</v>
      </c>
      <c r="C19" s="35" t="s">
        <v>36</v>
      </c>
      <c r="D19" s="35" t="s">
        <v>39</v>
      </c>
      <c r="E19" s="35" t="s">
        <v>25</v>
      </c>
      <c r="F19" s="35" t="s">
        <v>25</v>
      </c>
      <c r="G19" s="35" t="s">
        <v>25</v>
      </c>
      <c r="H19" s="35" t="s">
        <v>25</v>
      </c>
      <c r="I19" s="55">
        <v>44593</v>
      </c>
      <c r="J19" s="56">
        <f ca="1">EFEITO!$J$19*EFEITO!$Y$19</f>
        <v>35402.5781061585</v>
      </c>
      <c r="K19" s="56">
        <f>EFEITO!$L$19*EFEITO!$Z$19</f>
        <v>0</v>
      </c>
      <c r="L19" s="56">
        <f>EFEITO!$N$19*EFEITO!$AA$19</f>
        <v>0</v>
      </c>
      <c r="M19" s="56">
        <f ca="1">$J$19-EFEITO!$K$19*EFEITO!$Y$19</f>
        <v>0</v>
      </c>
      <c r="N19" s="56">
        <f>$K$19-EFEITO!$M$19*EFEITO!$Z$19</f>
        <v>0</v>
      </c>
      <c r="O19" s="56">
        <f>$L$19-EFEITO!$O$19*EFEITO!$AA$19</f>
        <v>0</v>
      </c>
      <c r="P19" s="39"/>
      <c r="Q19" s="39"/>
      <c r="R19" s="39"/>
      <c r="S19" s="39"/>
      <c r="T19" s="39"/>
      <c r="U19" s="39"/>
      <c r="V19" s="39"/>
      <c r="W19" s="39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35" t="s">
        <v>21</v>
      </c>
      <c r="B20" s="35" t="s">
        <v>35</v>
      </c>
      <c r="C20" s="35" t="s">
        <v>36</v>
      </c>
      <c r="D20" s="35" t="s">
        <v>39</v>
      </c>
      <c r="E20" s="35" t="s">
        <v>25</v>
      </c>
      <c r="F20" s="35" t="s">
        <v>25</v>
      </c>
      <c r="G20" s="35" t="s">
        <v>25</v>
      </c>
      <c r="H20" s="35" t="s">
        <v>25</v>
      </c>
      <c r="I20" s="55">
        <v>44621</v>
      </c>
      <c r="J20" s="56">
        <f ca="1">EFEITO!$J$20*EFEITO!$Y$20</f>
        <v>35161.744241490756</v>
      </c>
      <c r="K20" s="56">
        <f>EFEITO!$L$20*EFEITO!$Z$20</f>
        <v>0</v>
      </c>
      <c r="L20" s="56">
        <f>EFEITO!$N$20*EFEITO!$AA$20</f>
        <v>0</v>
      </c>
      <c r="M20" s="56">
        <f ca="1">$J$20-EFEITO!$K$20*EFEITO!$Y$20</f>
        <v>0</v>
      </c>
      <c r="N20" s="56">
        <f>$K$20-EFEITO!$M$20*EFEITO!$Z$20</f>
        <v>0</v>
      </c>
      <c r="O20" s="56">
        <f>$L$20-EFEITO!$O$20*EFEITO!$AA$20</f>
        <v>0</v>
      </c>
      <c r="P20" s="39"/>
      <c r="Q20" s="39"/>
      <c r="R20" s="39"/>
      <c r="S20" s="39"/>
      <c r="T20" s="39"/>
      <c r="U20" s="39"/>
      <c r="V20" s="39"/>
      <c r="W20" s="39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35" t="s">
        <v>21</v>
      </c>
      <c r="B21" s="35" t="s">
        <v>35</v>
      </c>
      <c r="C21" s="35" t="s">
        <v>36</v>
      </c>
      <c r="D21" s="35" t="s">
        <v>39</v>
      </c>
      <c r="E21" s="35" t="s">
        <v>25</v>
      </c>
      <c r="F21" s="35" t="s">
        <v>25</v>
      </c>
      <c r="G21" s="35" t="s">
        <v>25</v>
      </c>
      <c r="H21" s="35" t="s">
        <v>25</v>
      </c>
      <c r="I21" s="55">
        <v>44652</v>
      </c>
      <c r="J21" s="56">
        <f ca="1">EFEITO!$J$21*EFEITO!$Y$21</f>
        <v>26973.392842787431</v>
      </c>
      <c r="K21" s="56">
        <f>EFEITO!$L$21*EFEITO!$Z$21</f>
        <v>0</v>
      </c>
      <c r="L21" s="56">
        <f>EFEITO!$N$21*EFEITO!$AA$21</f>
        <v>0</v>
      </c>
      <c r="M21" s="56">
        <f ca="1">$J$21-EFEITO!$K$21*EFEITO!$Y$21</f>
        <v>0</v>
      </c>
      <c r="N21" s="56">
        <f>$K$21-EFEITO!$M$21*EFEITO!$Z$21</f>
        <v>0</v>
      </c>
      <c r="O21" s="56">
        <f>$L$21-EFEITO!$O$21*EFEITO!$AA$21</f>
        <v>0</v>
      </c>
      <c r="P21" s="39"/>
      <c r="Q21" s="39"/>
      <c r="R21" s="39"/>
      <c r="S21" s="39"/>
      <c r="T21" s="39"/>
      <c r="U21" s="39"/>
      <c r="V21" s="39"/>
      <c r="W21" s="39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35" t="s">
        <v>21</v>
      </c>
      <c r="B22" s="35" t="s">
        <v>35</v>
      </c>
      <c r="C22" s="35" t="s">
        <v>36</v>
      </c>
      <c r="D22" s="35" t="s">
        <v>39</v>
      </c>
      <c r="E22" s="35" t="s">
        <v>25</v>
      </c>
      <c r="F22" s="35" t="s">
        <v>25</v>
      </c>
      <c r="G22" s="35" t="s">
        <v>25</v>
      </c>
      <c r="H22" s="35" t="s">
        <v>25</v>
      </c>
      <c r="I22" s="55">
        <v>44682</v>
      </c>
      <c r="J22" s="56">
        <f ca="1">EFEITO!$J$22*EFEITO!$Y$22</f>
        <v>26801.368653739039</v>
      </c>
      <c r="K22" s="56">
        <f>EFEITO!$L$22*EFEITO!$Z$22</f>
        <v>0</v>
      </c>
      <c r="L22" s="56">
        <f>EFEITO!$N$22*EFEITO!$AA$22</f>
        <v>0</v>
      </c>
      <c r="M22" s="56">
        <f ca="1">$J$22-EFEITO!$K$22*EFEITO!$Y$22</f>
        <v>0</v>
      </c>
      <c r="N22" s="56">
        <f>$K$22-EFEITO!$M$22*EFEITO!$Z$22</f>
        <v>0</v>
      </c>
      <c r="O22" s="56">
        <f>$L$22-EFEITO!$O$22*EFEITO!$AA$22</f>
        <v>0</v>
      </c>
      <c r="P22" s="39"/>
      <c r="Q22" s="39"/>
      <c r="R22" s="39"/>
      <c r="S22" s="39"/>
      <c r="T22" s="39"/>
      <c r="U22" s="39"/>
      <c r="V22" s="39"/>
      <c r="W22" s="39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35" t="s">
        <v>21</v>
      </c>
      <c r="B23" s="35" t="s">
        <v>35</v>
      </c>
      <c r="C23" s="35" t="s">
        <v>36</v>
      </c>
      <c r="D23" s="35" t="s">
        <v>39</v>
      </c>
      <c r="E23" s="35" t="s">
        <v>25</v>
      </c>
      <c r="F23" s="35" t="s">
        <v>25</v>
      </c>
      <c r="G23" s="35" t="s">
        <v>25</v>
      </c>
      <c r="H23" s="35" t="s">
        <v>25</v>
      </c>
      <c r="I23" s="55">
        <v>44713</v>
      </c>
      <c r="J23" s="56">
        <f ca="1">EFEITO!$J$23*EFEITO!$Y$23</f>
        <v>27283.03638307453</v>
      </c>
      <c r="K23" s="56">
        <f>EFEITO!$L$23*EFEITO!$Z$23</f>
        <v>0</v>
      </c>
      <c r="L23" s="56">
        <f>EFEITO!$N$23*EFEITO!$AA$23</f>
        <v>0</v>
      </c>
      <c r="M23" s="56">
        <f ca="1">$J$23-EFEITO!$K$23*EFEITO!$Y$23</f>
        <v>0</v>
      </c>
      <c r="N23" s="56">
        <f>$K$23-EFEITO!$M$23*EFEITO!$Z$23</f>
        <v>0</v>
      </c>
      <c r="O23" s="56">
        <f>$L$23-EFEITO!$O$23*EFEITO!$AA$23</f>
        <v>0</v>
      </c>
      <c r="P23" s="39"/>
      <c r="Q23" s="39"/>
      <c r="R23" s="39"/>
      <c r="S23" s="39"/>
      <c r="T23" s="39"/>
      <c r="U23" s="39"/>
      <c r="V23" s="39"/>
      <c r="W23" s="39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35" t="s">
        <v>21</v>
      </c>
      <c r="B24" s="35" t="s">
        <v>35</v>
      </c>
      <c r="C24" s="35" t="s">
        <v>36</v>
      </c>
      <c r="D24" s="35" t="s">
        <v>39</v>
      </c>
      <c r="E24" s="35" t="s">
        <v>25</v>
      </c>
      <c r="F24" s="35" t="s">
        <v>25</v>
      </c>
      <c r="G24" s="35" t="s">
        <v>25</v>
      </c>
      <c r="H24" s="35" t="s">
        <v>25</v>
      </c>
      <c r="I24" s="55">
        <v>44743</v>
      </c>
      <c r="J24" s="56">
        <f ca="1">EFEITO!$J$24*EFEITO!$Y$24</f>
        <v>26973.392842787431</v>
      </c>
      <c r="K24" s="56">
        <f>EFEITO!$L$24*EFEITO!$Z$24</f>
        <v>0</v>
      </c>
      <c r="L24" s="56">
        <f>EFEITO!$N$24*EFEITO!$AA$24</f>
        <v>0</v>
      </c>
      <c r="M24" s="56">
        <f ca="1">$J$24-EFEITO!$K$24*EFEITO!$Y$24</f>
        <v>0</v>
      </c>
      <c r="N24" s="56">
        <f>$K$24-EFEITO!$M$24*EFEITO!$Z$24</f>
        <v>0</v>
      </c>
      <c r="O24" s="56">
        <f>$L$24-EFEITO!$O$24*EFEITO!$AA$24</f>
        <v>0</v>
      </c>
      <c r="P24" s="39"/>
      <c r="Q24" s="39"/>
      <c r="R24" s="39"/>
      <c r="S24" s="39"/>
      <c r="T24" s="39"/>
      <c r="U24" s="39"/>
      <c r="V24" s="39"/>
      <c r="W24" s="39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35" t="s">
        <v>21</v>
      </c>
      <c r="B25" s="35" t="s">
        <v>35</v>
      </c>
      <c r="C25" s="35" t="s">
        <v>36</v>
      </c>
      <c r="D25" s="35" t="s">
        <v>39</v>
      </c>
      <c r="E25" s="35" t="s">
        <v>25</v>
      </c>
      <c r="F25" s="35" t="s">
        <v>25</v>
      </c>
      <c r="G25" s="35" t="s">
        <v>25</v>
      </c>
      <c r="H25" s="35" t="s">
        <v>25</v>
      </c>
      <c r="I25" s="55">
        <v>44774</v>
      </c>
      <c r="J25" s="56">
        <f ca="1">EFEITO!$J$25*EFEITO!$Y$25</f>
        <v>27214.226707455175</v>
      </c>
      <c r="K25" s="56">
        <f>EFEITO!$L$25*EFEITO!$Z$25</f>
        <v>0</v>
      </c>
      <c r="L25" s="56">
        <f>EFEITO!$N$25*EFEITO!$AA$25</f>
        <v>0</v>
      </c>
      <c r="M25" s="56">
        <f ca="1">$J$25-EFEITO!$K$25*EFEITO!$Y$25</f>
        <v>0</v>
      </c>
      <c r="N25" s="56">
        <f>$K$25-EFEITO!$M$25*EFEITO!$Z$25</f>
        <v>0</v>
      </c>
      <c r="O25" s="56">
        <f>$L$25-EFEITO!$O$25*EFEITO!$AA$25</f>
        <v>0</v>
      </c>
      <c r="P25" s="39"/>
      <c r="Q25" s="39"/>
      <c r="R25" s="39"/>
      <c r="S25" s="39"/>
      <c r="T25" s="39"/>
      <c r="U25" s="39"/>
      <c r="V25" s="39"/>
      <c r="W25" s="39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35" t="s">
        <v>21</v>
      </c>
      <c r="B26" s="35" t="s">
        <v>35</v>
      </c>
      <c r="C26" s="35" t="s">
        <v>36</v>
      </c>
      <c r="D26" s="35" t="s">
        <v>39</v>
      </c>
      <c r="E26" s="35" t="s">
        <v>25</v>
      </c>
      <c r="F26" s="35" t="s">
        <v>25</v>
      </c>
      <c r="G26" s="35" t="s">
        <v>25</v>
      </c>
      <c r="H26" s="35" t="s">
        <v>37</v>
      </c>
      <c r="I26" s="55">
        <v>44440</v>
      </c>
      <c r="J26" s="56">
        <f>EFEITO!$J$26*EFEITO!$Y$26</f>
        <v>0</v>
      </c>
      <c r="K26" s="56">
        <f ca="1">EFEITO!$L$26*EFEITO!$Z$26</f>
        <v>10044.817368458551</v>
      </c>
      <c r="L26" s="56">
        <f>EFEITO!$N$26*EFEITO!$AA$26</f>
        <v>582.26693956354802</v>
      </c>
      <c r="M26" s="56">
        <f>$J$26-EFEITO!$K$26*EFEITO!$Y$26</f>
        <v>0</v>
      </c>
      <c r="N26" s="56">
        <f ca="1">$K$26-EFEITO!$M$26*EFEITO!$Z$26</f>
        <v>0</v>
      </c>
      <c r="O26" s="56">
        <f>$L$26-EFEITO!$O$26*EFEITO!$AA$26</f>
        <v>0</v>
      </c>
      <c r="P26" s="39"/>
      <c r="Q26" s="39"/>
      <c r="R26" s="39"/>
      <c r="S26" s="39"/>
      <c r="T26" s="39"/>
      <c r="U26" s="39"/>
      <c r="V26" s="39"/>
      <c r="W26" s="39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35" t="s">
        <v>21</v>
      </c>
      <c r="B27" s="35" t="s">
        <v>35</v>
      </c>
      <c r="C27" s="35" t="s">
        <v>36</v>
      </c>
      <c r="D27" s="35" t="s">
        <v>39</v>
      </c>
      <c r="E27" s="35" t="s">
        <v>25</v>
      </c>
      <c r="F27" s="35" t="s">
        <v>25</v>
      </c>
      <c r="G27" s="35" t="s">
        <v>25</v>
      </c>
      <c r="H27" s="35" t="s">
        <v>37</v>
      </c>
      <c r="I27" s="55">
        <v>44470</v>
      </c>
      <c r="J27" s="56">
        <f>EFEITO!$J$27*EFEITO!$Y$27</f>
        <v>0</v>
      </c>
      <c r="K27" s="56">
        <f ca="1">EFEITO!$L$27*EFEITO!$Z$27</f>
        <v>9208.1919133912725</v>
      </c>
      <c r="L27" s="56">
        <f>EFEITO!$N$27*EFEITO!$AA$27</f>
        <v>533.7703541689109</v>
      </c>
      <c r="M27" s="56">
        <f>$J$27-EFEITO!$K$27*EFEITO!$Y$27</f>
        <v>0</v>
      </c>
      <c r="N27" s="56">
        <f ca="1">$K$27-EFEITO!$M$27*EFEITO!$Z$27</f>
        <v>0</v>
      </c>
      <c r="O27" s="56">
        <f>$L$27-EFEITO!$O$27*EFEITO!$AA$27</f>
        <v>0</v>
      </c>
      <c r="P27" s="39"/>
      <c r="Q27" s="39"/>
      <c r="R27" s="39"/>
      <c r="S27" s="39"/>
      <c r="T27" s="39"/>
      <c r="U27" s="39"/>
      <c r="V27" s="39"/>
      <c r="W27" s="39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35" t="s">
        <v>21</v>
      </c>
      <c r="B28" s="35" t="s">
        <v>35</v>
      </c>
      <c r="C28" s="35" t="s">
        <v>36</v>
      </c>
      <c r="D28" s="35" t="s">
        <v>39</v>
      </c>
      <c r="E28" s="35" t="s">
        <v>25</v>
      </c>
      <c r="F28" s="35" t="s">
        <v>25</v>
      </c>
      <c r="G28" s="35" t="s">
        <v>25</v>
      </c>
      <c r="H28" s="35" t="s">
        <v>37</v>
      </c>
      <c r="I28" s="55">
        <v>44501</v>
      </c>
      <c r="J28" s="56">
        <f>EFEITO!$J$28*EFEITO!$Y$28</f>
        <v>0</v>
      </c>
      <c r="K28" s="56">
        <f ca="1">EFEITO!$L$28*EFEITO!$Z$28</f>
        <v>8485.7724728252433</v>
      </c>
      <c r="L28" s="56">
        <f>EFEITO!$N$28*EFEITO!$AA$28</f>
        <v>491.89393757417656</v>
      </c>
      <c r="M28" s="56">
        <f>$J$28-EFEITO!$K$28*EFEITO!$Y$28</f>
        <v>0</v>
      </c>
      <c r="N28" s="56">
        <f ca="1">$K$28-EFEITO!$M$28*EFEITO!$Z$28</f>
        <v>0</v>
      </c>
      <c r="O28" s="56">
        <f>$L$28-EFEITO!$O$28*EFEITO!$AA$28</f>
        <v>0</v>
      </c>
      <c r="P28" s="39"/>
      <c r="Q28" s="39"/>
      <c r="R28" s="39"/>
      <c r="S28" s="39"/>
      <c r="T28" s="39"/>
      <c r="U28" s="39"/>
      <c r="V28" s="39"/>
      <c r="W28" s="39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35" t="s">
        <v>21</v>
      </c>
      <c r="B29" s="35" t="s">
        <v>35</v>
      </c>
      <c r="C29" s="35" t="s">
        <v>36</v>
      </c>
      <c r="D29" s="35" t="s">
        <v>39</v>
      </c>
      <c r="E29" s="35" t="s">
        <v>25</v>
      </c>
      <c r="F29" s="35" t="s">
        <v>25</v>
      </c>
      <c r="G29" s="35" t="s">
        <v>25</v>
      </c>
      <c r="H29" s="35" t="s">
        <v>37</v>
      </c>
      <c r="I29" s="55">
        <v>44531</v>
      </c>
      <c r="J29" s="56">
        <f>EFEITO!$J$29*EFEITO!$Y$29</f>
        <v>0</v>
      </c>
      <c r="K29" s="56">
        <f ca="1">EFEITO!$L$29*EFEITO!$Z$29</f>
        <v>14376.678058029122</v>
      </c>
      <c r="L29" s="56">
        <f>EFEITO!$N$29*EFEITO!$AA$29</f>
        <v>833.37148171800243</v>
      </c>
      <c r="M29" s="56">
        <f>$J$29-EFEITO!$K$29*EFEITO!$Y$29</f>
        <v>0</v>
      </c>
      <c r="N29" s="56">
        <f ca="1">$K$29-EFEITO!$M$29*EFEITO!$Z$29</f>
        <v>0</v>
      </c>
      <c r="O29" s="56">
        <f>$L$29-EFEITO!$O$29*EFEITO!$AA$29</f>
        <v>0</v>
      </c>
      <c r="P29" s="39"/>
      <c r="Q29" s="39"/>
      <c r="R29" s="39"/>
      <c r="S29" s="39"/>
      <c r="T29" s="39"/>
      <c r="U29" s="39"/>
      <c r="V29" s="39"/>
      <c r="W29" s="39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35" t="s">
        <v>21</v>
      </c>
      <c r="B30" s="35" t="s">
        <v>35</v>
      </c>
      <c r="C30" s="35" t="s">
        <v>36</v>
      </c>
      <c r="D30" s="35" t="s">
        <v>39</v>
      </c>
      <c r="E30" s="35" t="s">
        <v>25</v>
      </c>
      <c r="F30" s="35" t="s">
        <v>25</v>
      </c>
      <c r="G30" s="35" t="s">
        <v>25</v>
      </c>
      <c r="H30" s="35" t="s">
        <v>37</v>
      </c>
      <c r="I30" s="55">
        <v>44562</v>
      </c>
      <c r="J30" s="56">
        <f>EFEITO!$J$30*EFEITO!$Y$30</f>
        <v>0</v>
      </c>
      <c r="K30" s="56">
        <f ca="1">EFEITO!$L$30*EFEITO!$Z$30</f>
        <v>17178.709344048097</v>
      </c>
      <c r="L30" s="56">
        <f>EFEITO!$N$30*EFEITO!$AA$30</f>
        <v>995.79655343654895</v>
      </c>
      <c r="M30" s="56">
        <f>$J$30-EFEITO!$K$30*EFEITO!$Y$30</f>
        <v>0</v>
      </c>
      <c r="N30" s="56">
        <f ca="1">$K$30-EFEITO!$M$30*EFEITO!$Z$30</f>
        <v>0</v>
      </c>
      <c r="O30" s="56">
        <f>$L$30-EFEITO!$O$30*EFEITO!$AA$30</f>
        <v>0</v>
      </c>
      <c r="P30" s="39"/>
      <c r="Q30" s="39"/>
      <c r="R30" s="39"/>
      <c r="S30" s="39"/>
      <c r="T30" s="39"/>
      <c r="U30" s="39"/>
      <c r="V30" s="39"/>
      <c r="W30" s="39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35" t="s">
        <v>21</v>
      </c>
      <c r="B31" s="35" t="s">
        <v>35</v>
      </c>
      <c r="C31" s="35" t="s">
        <v>36</v>
      </c>
      <c r="D31" s="35" t="s">
        <v>39</v>
      </c>
      <c r="E31" s="35" t="s">
        <v>25</v>
      </c>
      <c r="F31" s="35" t="s">
        <v>25</v>
      </c>
      <c r="G31" s="35" t="s">
        <v>25</v>
      </c>
      <c r="H31" s="35" t="s">
        <v>37</v>
      </c>
      <c r="I31" s="55">
        <v>44593</v>
      </c>
      <c r="J31" s="56">
        <f>EFEITO!$J$31*EFEITO!$Y$31</f>
        <v>0</v>
      </c>
      <c r="K31" s="56">
        <f ca="1">EFEITO!$L$31*EFEITO!$Z$31</f>
        <v>12331.593612309109</v>
      </c>
      <c r="L31" s="56">
        <f>EFEITO!$N$31*EFEITO!$AA$31</f>
        <v>714.82427297555614</v>
      </c>
      <c r="M31" s="56">
        <f>$J$31-EFEITO!$K$31*EFEITO!$Y$31</f>
        <v>0</v>
      </c>
      <c r="N31" s="56">
        <f ca="1">$K$31-EFEITO!$M$31*EFEITO!$Z$31</f>
        <v>0</v>
      </c>
      <c r="O31" s="56">
        <f>$L$31-EFEITO!$O$31*EFEITO!$AA$31</f>
        <v>0</v>
      </c>
      <c r="P31" s="39"/>
      <c r="Q31" s="39"/>
      <c r="R31" s="39"/>
      <c r="S31" s="39"/>
      <c r="T31" s="39"/>
      <c r="U31" s="39"/>
      <c r="V31" s="39"/>
      <c r="W31" s="39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35" t="s">
        <v>21</v>
      </c>
      <c r="B32" s="35" t="s">
        <v>35</v>
      </c>
      <c r="C32" s="35" t="s">
        <v>36</v>
      </c>
      <c r="D32" s="35" t="s">
        <v>39</v>
      </c>
      <c r="E32" s="35" t="s">
        <v>25</v>
      </c>
      <c r="F32" s="35" t="s">
        <v>25</v>
      </c>
      <c r="G32" s="35" t="s">
        <v>25</v>
      </c>
      <c r="H32" s="35" t="s">
        <v>37</v>
      </c>
      <c r="I32" s="55">
        <v>44621</v>
      </c>
      <c r="J32" s="56">
        <f>EFEITO!$J$32*EFEITO!$Y$32</f>
        <v>0</v>
      </c>
      <c r="K32" s="56">
        <f ca="1">EFEITO!$L$32*EFEITO!$Z$32</f>
        <v>12634.372348428695</v>
      </c>
      <c r="L32" s="56">
        <f>EFEITO!$N$32*EFEITO!$AA$32</f>
        <v>732.37541816599617</v>
      </c>
      <c r="M32" s="56">
        <f>$J$32-EFEITO!$K$32*EFEITO!$Y$32</f>
        <v>0</v>
      </c>
      <c r="N32" s="56">
        <f ca="1">$K$32-EFEITO!$M$32*EFEITO!$Z$32</f>
        <v>0</v>
      </c>
      <c r="O32" s="56">
        <f>$L$32-EFEITO!$O$32*EFEITO!$AA$32</f>
        <v>0</v>
      </c>
      <c r="P32" s="39"/>
      <c r="Q32" s="39"/>
      <c r="R32" s="39"/>
      <c r="S32" s="39"/>
      <c r="T32" s="39"/>
      <c r="U32" s="39"/>
      <c r="V32" s="39"/>
      <c r="W32" s="39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35" t="s">
        <v>21</v>
      </c>
      <c r="B33" s="35" t="s">
        <v>35</v>
      </c>
      <c r="C33" s="35" t="s">
        <v>36</v>
      </c>
      <c r="D33" s="35" t="s">
        <v>39</v>
      </c>
      <c r="E33" s="35" t="s">
        <v>25</v>
      </c>
      <c r="F33" s="35" t="s">
        <v>25</v>
      </c>
      <c r="G33" s="35" t="s">
        <v>25</v>
      </c>
      <c r="H33" s="35" t="s">
        <v>37</v>
      </c>
      <c r="I33" s="55">
        <v>44652</v>
      </c>
      <c r="J33" s="56">
        <f>EFEITO!$J$33*EFEITO!$Y$33</f>
        <v>0</v>
      </c>
      <c r="K33" s="56">
        <f ca="1">EFEITO!$L$33*EFEITO!$Z$33</f>
        <v>10509.609287940371</v>
      </c>
      <c r="L33" s="56">
        <f>EFEITO!$N$33*EFEITO!$AA$33</f>
        <v>609.20948700501299</v>
      </c>
      <c r="M33" s="56">
        <f>$J$33-EFEITO!$K$33*EFEITO!$Y$33</f>
        <v>0</v>
      </c>
      <c r="N33" s="56">
        <f ca="1">$K$33-EFEITO!$M$33*EFEITO!$Z$33</f>
        <v>0</v>
      </c>
      <c r="O33" s="56">
        <f>$L$33-EFEITO!$O$33*EFEITO!$AA$33</f>
        <v>0</v>
      </c>
      <c r="P33" s="39"/>
      <c r="Q33" s="39"/>
      <c r="R33" s="39"/>
      <c r="S33" s="39"/>
      <c r="T33" s="39"/>
      <c r="U33" s="39"/>
      <c r="V33" s="39"/>
      <c r="W33" s="39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35" t="s">
        <v>21</v>
      </c>
      <c r="B34" s="35" t="s">
        <v>35</v>
      </c>
      <c r="C34" s="35" t="s">
        <v>36</v>
      </c>
      <c r="D34" s="35" t="s">
        <v>39</v>
      </c>
      <c r="E34" s="35" t="s">
        <v>25</v>
      </c>
      <c r="F34" s="35" t="s">
        <v>25</v>
      </c>
      <c r="G34" s="35" t="s">
        <v>25</v>
      </c>
      <c r="H34" s="35" t="s">
        <v>37</v>
      </c>
      <c r="I34" s="55">
        <v>44682</v>
      </c>
      <c r="J34" s="56">
        <f>EFEITO!$J$34*EFEITO!$Y$34</f>
        <v>0</v>
      </c>
      <c r="K34" s="56">
        <f ca="1">EFEITO!$L$34*EFEITO!$Z$34</f>
        <v>11250.620405285674</v>
      </c>
      <c r="L34" s="56">
        <f>EFEITO!$N$34*EFEITO!$AA$34</f>
        <v>652.16360549740591</v>
      </c>
      <c r="M34" s="56">
        <f>$J$34-EFEITO!$K$34*EFEITO!$Y$34</f>
        <v>0</v>
      </c>
      <c r="N34" s="56">
        <f ca="1">$K$34-EFEITO!$M$34*EFEITO!$Z$34</f>
        <v>0</v>
      </c>
      <c r="O34" s="56">
        <f>$L$34-EFEITO!$O$34*EFEITO!$AA$34</f>
        <v>0</v>
      </c>
      <c r="P34" s="39"/>
      <c r="Q34" s="39"/>
      <c r="R34" s="39"/>
      <c r="S34" s="39"/>
      <c r="T34" s="39"/>
      <c r="U34" s="39"/>
      <c r="V34" s="39"/>
      <c r="W34" s="39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35" t="s">
        <v>21</v>
      </c>
      <c r="B35" s="35" t="s">
        <v>35</v>
      </c>
      <c r="C35" s="35" t="s">
        <v>36</v>
      </c>
      <c r="D35" s="35" t="s">
        <v>39</v>
      </c>
      <c r="E35" s="35" t="s">
        <v>25</v>
      </c>
      <c r="F35" s="35" t="s">
        <v>25</v>
      </c>
      <c r="G35" s="35" t="s">
        <v>25</v>
      </c>
      <c r="H35" s="35" t="s">
        <v>37</v>
      </c>
      <c r="I35" s="55">
        <v>44713</v>
      </c>
      <c r="J35" s="56">
        <f>EFEITO!$J$35*EFEITO!$Y$35</f>
        <v>0</v>
      </c>
      <c r="K35" s="56">
        <f ca="1">EFEITO!$L$35*EFEITO!$Z$35</f>
        <v>14376.678058029122</v>
      </c>
      <c r="L35" s="56">
        <f>EFEITO!$N$35*EFEITO!$AA$35</f>
        <v>833.37148171800243</v>
      </c>
      <c r="M35" s="56">
        <f>$J$35-EFEITO!$K$35*EFEITO!$Y$35</f>
        <v>0</v>
      </c>
      <c r="N35" s="56">
        <f ca="1">$K$35-EFEITO!$M$35*EFEITO!$Z$35</f>
        <v>0</v>
      </c>
      <c r="O35" s="56">
        <f>$L$35-EFEITO!$O$35*EFEITO!$AA$35</f>
        <v>0</v>
      </c>
      <c r="P35" s="39"/>
      <c r="Q35" s="39"/>
      <c r="R35" s="39"/>
      <c r="S35" s="39"/>
      <c r="T35" s="39"/>
      <c r="U35" s="39"/>
      <c r="V35" s="39"/>
      <c r="W35" s="39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35" t="s">
        <v>21</v>
      </c>
      <c r="B36" s="35" t="s">
        <v>35</v>
      </c>
      <c r="C36" s="35" t="s">
        <v>36</v>
      </c>
      <c r="D36" s="35" t="s">
        <v>39</v>
      </c>
      <c r="E36" s="35" t="s">
        <v>25</v>
      </c>
      <c r="F36" s="35" t="s">
        <v>25</v>
      </c>
      <c r="G36" s="35" t="s">
        <v>25</v>
      </c>
      <c r="H36" s="35" t="s">
        <v>37</v>
      </c>
      <c r="I36" s="55">
        <v>44743</v>
      </c>
      <c r="J36" s="56">
        <f>EFEITO!$J$36*EFEITO!$Y$36</f>
        <v>0</v>
      </c>
      <c r="K36" s="56">
        <f ca="1">EFEITO!$L$36*EFEITO!$Z$36</f>
        <v>24548.98121011697</v>
      </c>
      <c r="L36" s="56">
        <f>EFEITO!$N$36*EFEITO!$AA$36</f>
        <v>1423.0283771512095</v>
      </c>
      <c r="M36" s="56">
        <f>$J$36-EFEITO!$K$36*EFEITO!$Y$36</f>
        <v>0</v>
      </c>
      <c r="N36" s="56">
        <f ca="1">$K$36-EFEITO!$M$36*EFEITO!$Z$36</f>
        <v>0</v>
      </c>
      <c r="O36" s="56">
        <f>$L$36-EFEITO!$O$36*EFEITO!$AA$36</f>
        <v>0</v>
      </c>
      <c r="P36" s="39"/>
      <c r="Q36" s="39"/>
      <c r="R36" s="39"/>
      <c r="S36" s="39"/>
      <c r="T36" s="39"/>
      <c r="U36" s="39"/>
      <c r="V36" s="39"/>
      <c r="W36" s="39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35" t="s">
        <v>21</v>
      </c>
      <c r="B37" s="35" t="s">
        <v>35</v>
      </c>
      <c r="C37" s="35" t="s">
        <v>36</v>
      </c>
      <c r="D37" s="35" t="s">
        <v>39</v>
      </c>
      <c r="E37" s="35" t="s">
        <v>25</v>
      </c>
      <c r="F37" s="35" t="s">
        <v>25</v>
      </c>
      <c r="G37" s="35" t="s">
        <v>25</v>
      </c>
      <c r="H37" s="35" t="s">
        <v>37</v>
      </c>
      <c r="I37" s="55">
        <v>44774</v>
      </c>
      <c r="J37" s="56">
        <f>EFEITO!$J$37*EFEITO!$Y$37</f>
        <v>0</v>
      </c>
      <c r="K37" s="56">
        <f ca="1">EFEITO!$L$37*EFEITO!$Z$37</f>
        <v>19415.022465212056</v>
      </c>
      <c r="L37" s="56">
        <f>EFEITO!$N$37*EFEITO!$AA$37</f>
        <v>1125.4286959834837</v>
      </c>
      <c r="M37" s="56">
        <f>$J$37-EFEITO!$K$37*EFEITO!$Y$37</f>
        <v>0</v>
      </c>
      <c r="N37" s="56">
        <f ca="1">$K$37-EFEITO!$M$37*EFEITO!$Z$37</f>
        <v>0</v>
      </c>
      <c r="O37" s="56">
        <f>$L$37-EFEITO!$O$37*EFEITO!$AA$37</f>
        <v>0</v>
      </c>
      <c r="P37" s="39"/>
      <c r="Q37" s="39"/>
      <c r="R37" s="39"/>
      <c r="S37" s="39"/>
      <c r="T37" s="39"/>
      <c r="U37" s="39"/>
      <c r="V37" s="39"/>
      <c r="W37" s="39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35" t="s">
        <v>21</v>
      </c>
      <c r="B38" s="35" t="s">
        <v>35</v>
      </c>
      <c r="C38" s="35" t="s">
        <v>36</v>
      </c>
      <c r="D38" s="35" t="s">
        <v>34</v>
      </c>
      <c r="E38" s="35" t="s">
        <v>25</v>
      </c>
      <c r="F38" s="35" t="s">
        <v>25</v>
      </c>
      <c r="G38" s="35" t="s">
        <v>25</v>
      </c>
      <c r="H38" s="35" t="s">
        <v>38</v>
      </c>
      <c r="I38" s="55">
        <v>44440</v>
      </c>
      <c r="J38" s="56">
        <f>EFEITO!$J$38*EFEITO!$Y$38</f>
        <v>0</v>
      </c>
      <c r="K38" s="56">
        <f ca="1">EFEITO!$L$38*EFEITO!$Z$38</f>
        <v>40692.090380627822</v>
      </c>
      <c r="L38" s="56">
        <f>EFEITO!$N$38*EFEITO!$AA$38</f>
        <v>64290.15274741</v>
      </c>
      <c r="M38" s="56">
        <f>$J$38-EFEITO!$K$38*EFEITO!$Y$38</f>
        <v>0</v>
      </c>
      <c r="N38" s="56">
        <f ca="1">$K$38-EFEITO!$M$38*EFEITO!$Z$38</f>
        <v>0</v>
      </c>
      <c r="O38" s="56">
        <f>$L$38-EFEITO!$O$38*EFEITO!$AA$38</f>
        <v>0</v>
      </c>
      <c r="P38" s="39"/>
      <c r="Q38" s="39"/>
      <c r="R38" s="39"/>
      <c r="S38" s="39"/>
      <c r="T38" s="39"/>
      <c r="U38" s="39"/>
      <c r="V38" s="39"/>
      <c r="W38" s="39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35" t="s">
        <v>21</v>
      </c>
      <c r="B39" s="35" t="s">
        <v>35</v>
      </c>
      <c r="C39" s="35" t="s">
        <v>36</v>
      </c>
      <c r="D39" s="35" t="s">
        <v>34</v>
      </c>
      <c r="E39" s="35" t="s">
        <v>25</v>
      </c>
      <c r="F39" s="35" t="s">
        <v>25</v>
      </c>
      <c r="G39" s="35" t="s">
        <v>25</v>
      </c>
      <c r="H39" s="35" t="s">
        <v>38</v>
      </c>
      <c r="I39" s="55">
        <v>44470</v>
      </c>
      <c r="J39" s="56">
        <f>EFEITO!$J$39*EFEITO!$Y$39</f>
        <v>0</v>
      </c>
      <c r="K39" s="56">
        <f ca="1">EFEITO!$L$39*EFEITO!$Z$39</f>
        <v>41562.287435828708</v>
      </c>
      <c r="L39" s="56">
        <f>EFEITO!$N$39*EFEITO!$AA$39</f>
        <v>65664.992453994477</v>
      </c>
      <c r="M39" s="56">
        <f>$J$39-EFEITO!$K$39*EFEITO!$Y$39</f>
        <v>0</v>
      </c>
      <c r="N39" s="56">
        <f ca="1">$K$39-EFEITO!$M$39*EFEITO!$Z$39</f>
        <v>0</v>
      </c>
      <c r="O39" s="56">
        <f>$L$39-EFEITO!$O$39*EFEITO!$AA$39</f>
        <v>0</v>
      </c>
      <c r="P39" s="39"/>
      <c r="Q39" s="39"/>
      <c r="R39" s="39"/>
      <c r="S39" s="39"/>
      <c r="T39" s="39"/>
      <c r="U39" s="39"/>
      <c r="V39" s="39"/>
      <c r="W39" s="39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35" t="s">
        <v>21</v>
      </c>
      <c r="B40" s="35" t="s">
        <v>35</v>
      </c>
      <c r="C40" s="35" t="s">
        <v>36</v>
      </c>
      <c r="D40" s="35" t="s">
        <v>34</v>
      </c>
      <c r="E40" s="35" t="s">
        <v>25</v>
      </c>
      <c r="F40" s="35" t="s">
        <v>25</v>
      </c>
      <c r="G40" s="35" t="s">
        <v>25</v>
      </c>
      <c r="H40" s="35" t="s">
        <v>38</v>
      </c>
      <c r="I40" s="55">
        <v>44501</v>
      </c>
      <c r="J40" s="56">
        <f>EFEITO!$J$40*EFEITO!$Y$40</f>
        <v>0</v>
      </c>
      <c r="K40" s="56">
        <f ca="1">EFEITO!$L$40*EFEITO!$Z$40</f>
        <v>45882.674517506923</v>
      </c>
      <c r="L40" s="56">
        <f>EFEITO!$N$40*EFEITO!$AA$40</f>
        <v>72490.848358936171</v>
      </c>
      <c r="M40" s="56">
        <f>$J$40-EFEITO!$K$40*EFEITO!$Y$40</f>
        <v>0</v>
      </c>
      <c r="N40" s="56">
        <f ca="1">$K$40-EFEITO!$M$40*EFEITO!$Z$40</f>
        <v>0</v>
      </c>
      <c r="O40" s="56">
        <f>$L$40-EFEITO!$O$40*EFEITO!$AA$40</f>
        <v>0</v>
      </c>
      <c r="P40" s="39"/>
      <c r="Q40" s="39"/>
      <c r="R40" s="39"/>
      <c r="S40" s="39"/>
      <c r="T40" s="39"/>
      <c r="U40" s="39"/>
      <c r="V40" s="39"/>
      <c r="W40" s="3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35" t="s">
        <v>21</v>
      </c>
      <c r="B41" s="35" t="s">
        <v>35</v>
      </c>
      <c r="C41" s="35" t="s">
        <v>36</v>
      </c>
      <c r="D41" s="35" t="s">
        <v>34</v>
      </c>
      <c r="E41" s="35" t="s">
        <v>25</v>
      </c>
      <c r="F41" s="35" t="s">
        <v>25</v>
      </c>
      <c r="G41" s="35" t="s">
        <v>25</v>
      </c>
      <c r="H41" s="35" t="s">
        <v>38</v>
      </c>
      <c r="I41" s="55">
        <v>44531</v>
      </c>
      <c r="J41" s="56">
        <f>EFEITO!$J$41*EFEITO!$Y$41</f>
        <v>0</v>
      </c>
      <c r="K41" s="56">
        <f ca="1">EFEITO!$L$41*EFEITO!$Z$41</f>
        <v>33228.664573479356</v>
      </c>
      <c r="L41" s="56">
        <f>EFEITO!$N$41*EFEITO!$AA$41</f>
        <v>52498.55441288538</v>
      </c>
      <c r="M41" s="56">
        <f>$J$41-EFEITO!$K$41*EFEITO!$Y$41</f>
        <v>0</v>
      </c>
      <c r="N41" s="56">
        <f ca="1">$K$41-EFEITO!$M$41*EFEITO!$Z$41</f>
        <v>0</v>
      </c>
      <c r="O41" s="56">
        <f>$L$41-EFEITO!$O$41*EFEITO!$AA$41</f>
        <v>0</v>
      </c>
      <c r="P41" s="39"/>
      <c r="Q41" s="39"/>
      <c r="R41" s="39"/>
      <c r="S41" s="39"/>
      <c r="T41" s="39"/>
      <c r="U41" s="39"/>
      <c r="V41" s="39"/>
      <c r="W41" s="3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35" t="s">
        <v>21</v>
      </c>
      <c r="B42" s="35" t="s">
        <v>35</v>
      </c>
      <c r="C42" s="35" t="s">
        <v>36</v>
      </c>
      <c r="D42" s="35" t="s">
        <v>34</v>
      </c>
      <c r="E42" s="35" t="s">
        <v>25</v>
      </c>
      <c r="F42" s="35" t="s">
        <v>25</v>
      </c>
      <c r="G42" s="35" t="s">
        <v>25</v>
      </c>
      <c r="H42" s="35" t="s">
        <v>38</v>
      </c>
      <c r="I42" s="55">
        <v>44562</v>
      </c>
      <c r="J42" s="56">
        <f>EFEITO!$J$42*EFEITO!$Y$42</f>
        <v>0</v>
      </c>
      <c r="K42" s="56">
        <f ca="1">EFEITO!$L$42*EFEITO!$Z$42</f>
        <v>37511.339867882903</v>
      </c>
      <c r="L42" s="56">
        <f>EFEITO!$N$42*EFEITO!$AA$42</f>
        <v>59264.828798627932</v>
      </c>
      <c r="M42" s="56">
        <f>$J$42-EFEITO!$K$42*EFEITO!$Y$42</f>
        <v>0</v>
      </c>
      <c r="N42" s="56">
        <f ca="1">$K$42-EFEITO!$M$42*EFEITO!$Z$42</f>
        <v>0</v>
      </c>
      <c r="O42" s="56">
        <f>$L$42-EFEITO!$O$42*EFEITO!$AA$42</f>
        <v>0</v>
      </c>
      <c r="P42" s="39"/>
      <c r="Q42" s="39"/>
      <c r="R42" s="39"/>
      <c r="S42" s="39"/>
      <c r="T42" s="39"/>
      <c r="U42" s="39"/>
      <c r="V42" s="39"/>
      <c r="W42" s="3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35" t="s">
        <v>21</v>
      </c>
      <c r="B43" s="35" t="s">
        <v>35</v>
      </c>
      <c r="C43" s="35" t="s">
        <v>36</v>
      </c>
      <c r="D43" s="35" t="s">
        <v>34</v>
      </c>
      <c r="E43" s="35" t="s">
        <v>25</v>
      </c>
      <c r="F43" s="35" t="s">
        <v>25</v>
      </c>
      <c r="G43" s="35" t="s">
        <v>25</v>
      </c>
      <c r="H43" s="35" t="s">
        <v>38</v>
      </c>
      <c r="I43" s="55">
        <v>44593</v>
      </c>
      <c r="J43" s="56">
        <f>EFEITO!$J$43*EFEITO!$Y$43</f>
        <v>0</v>
      </c>
      <c r="K43" s="56">
        <f ca="1">EFEITO!$L$43*EFEITO!$Z$43</f>
        <v>36281.370413152159</v>
      </c>
      <c r="L43" s="56">
        <f>EFEITO!$N$43*EFEITO!$AA$43</f>
        <v>57321.578319735527</v>
      </c>
      <c r="M43" s="56">
        <f>$J$43-EFEITO!$K$43*EFEITO!$Y$43</f>
        <v>0</v>
      </c>
      <c r="N43" s="56">
        <f ca="1">$K$43-EFEITO!$M$43*EFEITO!$Z$43</f>
        <v>0</v>
      </c>
      <c r="O43" s="56">
        <f>$L$43-EFEITO!$O$43*EFEITO!$AA$43</f>
        <v>0</v>
      </c>
      <c r="P43" s="39"/>
      <c r="Q43" s="39"/>
      <c r="R43" s="39"/>
      <c r="S43" s="39"/>
      <c r="T43" s="39"/>
      <c r="U43" s="39"/>
      <c r="V43" s="39"/>
      <c r="W43" s="3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35" t="s">
        <v>21</v>
      </c>
      <c r="B44" s="35" t="s">
        <v>35</v>
      </c>
      <c r="C44" s="35" t="s">
        <v>36</v>
      </c>
      <c r="D44" s="35" t="s">
        <v>34</v>
      </c>
      <c r="E44" s="35" t="s">
        <v>25</v>
      </c>
      <c r="F44" s="35" t="s">
        <v>25</v>
      </c>
      <c r="G44" s="35" t="s">
        <v>25</v>
      </c>
      <c r="H44" s="35" t="s">
        <v>38</v>
      </c>
      <c r="I44" s="55">
        <v>44621</v>
      </c>
      <c r="J44" s="56">
        <f>EFEITO!$J$44*EFEITO!$Y$44</f>
        <v>0</v>
      </c>
      <c r="K44" s="56">
        <f ca="1">EFEITO!$L$44*EFEITO!$Z$44</f>
        <v>44724.035885218167</v>
      </c>
      <c r="L44" s="56">
        <f>EFEITO!$N$44*EFEITO!$AA$44</f>
        <v>70660.294707056048</v>
      </c>
      <c r="M44" s="56">
        <f>$J$44-EFEITO!$K$44*EFEITO!$Y$44</f>
        <v>0</v>
      </c>
      <c r="N44" s="56">
        <f ca="1">$K$44-EFEITO!$M$44*EFEITO!$Z$44</f>
        <v>0</v>
      </c>
      <c r="O44" s="56">
        <f>$L$44-EFEITO!$O$44*EFEITO!$AA$44</f>
        <v>0</v>
      </c>
      <c r="P44" s="39"/>
      <c r="Q44" s="39"/>
      <c r="R44" s="39"/>
      <c r="S44" s="39"/>
      <c r="T44" s="39"/>
      <c r="U44" s="39"/>
      <c r="V44" s="39"/>
      <c r="W44" s="3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35" t="s">
        <v>21</v>
      </c>
      <c r="B45" s="35" t="s">
        <v>35</v>
      </c>
      <c r="C45" s="35" t="s">
        <v>36</v>
      </c>
      <c r="D45" s="35" t="s">
        <v>34</v>
      </c>
      <c r="E45" s="35" t="s">
        <v>25</v>
      </c>
      <c r="F45" s="35" t="s">
        <v>25</v>
      </c>
      <c r="G45" s="35" t="s">
        <v>25</v>
      </c>
      <c r="H45" s="35" t="s">
        <v>38</v>
      </c>
      <c r="I45" s="55">
        <v>44652</v>
      </c>
      <c r="J45" s="56">
        <f>EFEITO!$J$45*EFEITO!$Y$45</f>
        <v>0</v>
      </c>
      <c r="K45" s="56">
        <f ca="1">EFEITO!$L$45*EFEITO!$Z$45</f>
        <v>34742.690513754402</v>
      </c>
      <c r="L45" s="56">
        <f>EFEITO!$N$45*EFEITO!$AA$45</f>
        <v>54890.59075344562</v>
      </c>
      <c r="M45" s="56">
        <f>$J$45-EFEITO!$K$45*EFEITO!$Y$45</f>
        <v>0</v>
      </c>
      <c r="N45" s="56">
        <f ca="1">$K$45-EFEITO!$M$45*EFEITO!$Z$45</f>
        <v>0</v>
      </c>
      <c r="O45" s="56">
        <f>$L$45-EFEITO!$O$45*EFEITO!$AA$45</f>
        <v>0</v>
      </c>
      <c r="P45" s="39"/>
      <c r="Q45" s="39"/>
      <c r="R45" s="39"/>
      <c r="S45" s="39"/>
      <c r="T45" s="39"/>
      <c r="U45" s="39"/>
      <c r="V45" s="39"/>
      <c r="W45" s="3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35" t="s">
        <v>21</v>
      </c>
      <c r="B46" s="35" t="s">
        <v>35</v>
      </c>
      <c r="C46" s="35" t="s">
        <v>36</v>
      </c>
      <c r="D46" s="35" t="s">
        <v>34</v>
      </c>
      <c r="E46" s="35" t="s">
        <v>25</v>
      </c>
      <c r="F46" s="35" t="s">
        <v>25</v>
      </c>
      <c r="G46" s="35" t="s">
        <v>25</v>
      </c>
      <c r="H46" s="35" t="s">
        <v>38</v>
      </c>
      <c r="I46" s="55">
        <v>44682</v>
      </c>
      <c r="J46" s="56">
        <f>EFEITO!$J$46*EFEITO!$Y$46</f>
        <v>0</v>
      </c>
      <c r="K46" s="56">
        <f ca="1">EFEITO!$L$46*EFEITO!$Z$46</f>
        <v>34087.655283624466</v>
      </c>
      <c r="L46" s="56">
        <f>EFEITO!$N$46*EFEITO!$AA$46</f>
        <v>53855.689016865457</v>
      </c>
      <c r="M46" s="56">
        <f>$J$46-EFEITO!$K$46*EFEITO!$Y$46</f>
        <v>0</v>
      </c>
      <c r="N46" s="56">
        <f ca="1">$K$46-EFEITO!$M$46*EFEITO!$Z$46</f>
        <v>0</v>
      </c>
      <c r="O46" s="56">
        <f>$L$46-EFEITO!$O$46*EFEITO!$AA$46</f>
        <v>0</v>
      </c>
      <c r="P46" s="39"/>
      <c r="Q46" s="39"/>
      <c r="R46" s="39"/>
      <c r="S46" s="39"/>
      <c r="T46" s="39"/>
      <c r="U46" s="39"/>
      <c r="V46" s="39"/>
      <c r="W46" s="3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35" t="s">
        <v>21</v>
      </c>
      <c r="B47" s="35" t="s">
        <v>35</v>
      </c>
      <c r="C47" s="35" t="s">
        <v>36</v>
      </c>
      <c r="D47" s="35" t="s">
        <v>34</v>
      </c>
      <c r="E47" s="35" t="s">
        <v>25</v>
      </c>
      <c r="F47" s="35" t="s">
        <v>25</v>
      </c>
      <c r="G47" s="35" t="s">
        <v>25</v>
      </c>
      <c r="H47" s="35" t="s">
        <v>38</v>
      </c>
      <c r="I47" s="55">
        <v>44713</v>
      </c>
      <c r="J47" s="56">
        <f>EFEITO!$J$47*EFEITO!$Y$47</f>
        <v>0</v>
      </c>
      <c r="K47" s="56">
        <f ca="1">EFEITO!$L$47*EFEITO!$Z$47</f>
        <v>31567.007217904273</v>
      </c>
      <c r="L47" s="56">
        <f>EFEITO!$N$47*EFEITO!$AA$47</f>
        <v>49873.272590189015</v>
      </c>
      <c r="M47" s="56">
        <f>$J$47-EFEITO!$K$47*EFEITO!$Y$47</f>
        <v>0</v>
      </c>
      <c r="N47" s="56">
        <f ca="1">$K$47-EFEITO!$M$47*EFEITO!$Z$47</f>
        <v>0</v>
      </c>
      <c r="O47" s="56">
        <f>$L$47-EFEITO!$O$47*EFEITO!$AA$47</f>
        <v>0</v>
      </c>
      <c r="P47" s="39"/>
      <c r="Q47" s="39"/>
      <c r="R47" s="39"/>
      <c r="S47" s="39"/>
      <c r="T47" s="39"/>
      <c r="U47" s="39"/>
      <c r="V47" s="39"/>
      <c r="W47" s="3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35" t="s">
        <v>21</v>
      </c>
      <c r="B48" s="35" t="s">
        <v>35</v>
      </c>
      <c r="C48" s="35" t="s">
        <v>36</v>
      </c>
      <c r="D48" s="35" t="s">
        <v>34</v>
      </c>
      <c r="E48" s="35" t="s">
        <v>25</v>
      </c>
      <c r="F48" s="35" t="s">
        <v>25</v>
      </c>
      <c r="G48" s="35" t="s">
        <v>25</v>
      </c>
      <c r="H48" s="35" t="s">
        <v>38</v>
      </c>
      <c r="I48" s="55">
        <v>44743</v>
      </c>
      <c r="J48" s="56">
        <f>EFEITO!$J$48*EFEITO!$Y$48</f>
        <v>0</v>
      </c>
      <c r="K48" s="56">
        <f ca="1">EFEITO!$L$48*EFEITO!$Z$48</f>
        <v>34789.56227003118</v>
      </c>
      <c r="L48" s="56">
        <f>EFEITO!$N$48*EFEITO!$AA$48</f>
        <v>54964.644269556156</v>
      </c>
      <c r="M48" s="56">
        <f>$J$48-EFEITO!$K$48*EFEITO!$Y$48</f>
        <v>0</v>
      </c>
      <c r="N48" s="56">
        <f ca="1">$K$48-EFEITO!$M$48*EFEITO!$Z$48</f>
        <v>0</v>
      </c>
      <c r="O48" s="56">
        <f>$L$48-EFEITO!$O$48*EFEITO!$AA$48</f>
        <v>0</v>
      </c>
      <c r="P48" s="39"/>
      <c r="Q48" s="39"/>
      <c r="R48" s="39"/>
      <c r="S48" s="39"/>
      <c r="T48" s="39"/>
      <c r="U48" s="39"/>
      <c r="V48" s="39"/>
      <c r="W48" s="3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35" t="s">
        <v>21</v>
      </c>
      <c r="B49" s="35" t="s">
        <v>35</v>
      </c>
      <c r="C49" s="35" t="s">
        <v>36</v>
      </c>
      <c r="D49" s="35" t="s">
        <v>34</v>
      </c>
      <c r="E49" s="35" t="s">
        <v>25</v>
      </c>
      <c r="F49" s="35" t="s">
        <v>25</v>
      </c>
      <c r="G49" s="35" t="s">
        <v>25</v>
      </c>
      <c r="H49" s="35" t="s">
        <v>38</v>
      </c>
      <c r="I49" s="55">
        <v>44774</v>
      </c>
      <c r="J49" s="56">
        <f>EFEITO!$J$49*EFEITO!$Y$49</f>
        <v>0</v>
      </c>
      <c r="K49" s="56">
        <f ca="1">EFEITO!$L$49*EFEITO!$Z$49</f>
        <v>39667.830442529666</v>
      </c>
      <c r="L49" s="56">
        <f>EFEITO!$N$49*EFEITO!$AA$49</f>
        <v>62671.906369368626</v>
      </c>
      <c r="M49" s="56">
        <f>$J$49-EFEITO!$K$49*EFEITO!$Y$49</f>
        <v>0</v>
      </c>
      <c r="N49" s="56">
        <f ca="1">$K$49-EFEITO!$M$49*EFEITO!$Z$49</f>
        <v>0</v>
      </c>
      <c r="O49" s="56">
        <f>$L$49-EFEITO!$O$49*EFEITO!$AA$49</f>
        <v>0</v>
      </c>
      <c r="P49" s="39"/>
      <c r="Q49" s="39"/>
      <c r="R49" s="39"/>
      <c r="S49" s="39"/>
      <c r="T49" s="39"/>
      <c r="U49" s="39"/>
      <c r="V49" s="39"/>
      <c r="W49" s="3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35" t="s">
        <v>21</v>
      </c>
      <c r="B50" s="35" t="s">
        <v>35</v>
      </c>
      <c r="C50" s="35" t="s">
        <v>36</v>
      </c>
      <c r="D50" s="35" t="s">
        <v>34</v>
      </c>
      <c r="E50" s="35" t="s">
        <v>25</v>
      </c>
      <c r="F50" s="35" t="s">
        <v>25</v>
      </c>
      <c r="G50" s="35" t="s">
        <v>25</v>
      </c>
      <c r="H50" s="35" t="s">
        <v>25</v>
      </c>
      <c r="I50" s="55">
        <v>44440</v>
      </c>
      <c r="J50" s="56">
        <f ca="1">EFEITO!$J$50*EFEITO!$Y$50</f>
        <v>65403.59667619758</v>
      </c>
      <c r="K50" s="56">
        <f>EFEITO!$L$50*EFEITO!$Z$50</f>
        <v>0</v>
      </c>
      <c r="L50" s="56">
        <f>EFEITO!$N$50*EFEITO!$AA$50</f>
        <v>0</v>
      </c>
      <c r="M50" s="56">
        <f ca="1">$J$50-EFEITO!$K$50*EFEITO!$Y$50</f>
        <v>0</v>
      </c>
      <c r="N50" s="56">
        <f>$K$50-EFEITO!$M$50*EFEITO!$Z$50</f>
        <v>0</v>
      </c>
      <c r="O50" s="56">
        <f>$L$50-EFEITO!$O$50*EFEITO!$AA$50</f>
        <v>0</v>
      </c>
      <c r="P50" s="39"/>
      <c r="Q50" s="39"/>
      <c r="R50" s="39"/>
      <c r="S50" s="39"/>
      <c r="T50" s="39"/>
      <c r="U50" s="39"/>
      <c r="V50" s="39"/>
      <c r="W50" s="3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35" t="s">
        <v>21</v>
      </c>
      <c r="B51" s="35" t="s">
        <v>35</v>
      </c>
      <c r="C51" s="35" t="s">
        <v>36</v>
      </c>
      <c r="D51" s="35" t="s">
        <v>34</v>
      </c>
      <c r="E51" s="35" t="s">
        <v>25</v>
      </c>
      <c r="F51" s="35" t="s">
        <v>25</v>
      </c>
      <c r="G51" s="35" t="s">
        <v>25</v>
      </c>
      <c r="H51" s="35" t="s">
        <v>25</v>
      </c>
      <c r="I51" s="55">
        <v>44470</v>
      </c>
      <c r="J51" s="56">
        <f ca="1">EFEITO!$J$51*EFEITO!$Y$51</f>
        <v>65541.216027436298</v>
      </c>
      <c r="K51" s="56">
        <f>EFEITO!$L$51*EFEITO!$Z$51</f>
        <v>0</v>
      </c>
      <c r="L51" s="56">
        <f>EFEITO!$N$51*EFEITO!$AA$51</f>
        <v>0</v>
      </c>
      <c r="M51" s="56">
        <f ca="1">$J$51-EFEITO!$K$51*EFEITO!$Y$51</f>
        <v>0</v>
      </c>
      <c r="N51" s="56">
        <f>$K$51-EFEITO!$M$51*EFEITO!$Z$51</f>
        <v>0</v>
      </c>
      <c r="O51" s="56">
        <f>$L$51-EFEITO!$O$51*EFEITO!$AA$51</f>
        <v>0</v>
      </c>
      <c r="P51" s="39"/>
      <c r="Q51" s="39"/>
      <c r="R51" s="39"/>
      <c r="S51" s="39"/>
      <c r="T51" s="39"/>
      <c r="U51" s="39"/>
      <c r="V51" s="39"/>
      <c r="W51" s="3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35" t="s">
        <v>21</v>
      </c>
      <c r="B52" s="35" t="s">
        <v>35</v>
      </c>
      <c r="C52" s="35" t="s">
        <v>36</v>
      </c>
      <c r="D52" s="35" t="s">
        <v>34</v>
      </c>
      <c r="E52" s="35" t="s">
        <v>25</v>
      </c>
      <c r="F52" s="35" t="s">
        <v>25</v>
      </c>
      <c r="G52" s="35" t="s">
        <v>25</v>
      </c>
      <c r="H52" s="35" t="s">
        <v>25</v>
      </c>
      <c r="I52" s="55">
        <v>44501</v>
      </c>
      <c r="J52" s="56">
        <f ca="1">EFEITO!$J$52*EFEITO!$Y$52</f>
        <v>65231.572487149191</v>
      </c>
      <c r="K52" s="56">
        <f>EFEITO!$L$52*EFEITO!$Z$52</f>
        <v>0</v>
      </c>
      <c r="L52" s="56">
        <f>EFEITO!$N$52*EFEITO!$AA$52</f>
        <v>0</v>
      </c>
      <c r="M52" s="56">
        <f ca="1">$J$52-EFEITO!$K$52*EFEITO!$Y$52</f>
        <v>0</v>
      </c>
      <c r="N52" s="56">
        <f>$K$52-EFEITO!$M$52*EFEITO!$Z$52</f>
        <v>0</v>
      </c>
      <c r="O52" s="56">
        <f>$L$52-EFEITO!$O$52*EFEITO!$AA$52</f>
        <v>0</v>
      </c>
      <c r="P52" s="39"/>
      <c r="Q52" s="39"/>
      <c r="R52" s="39"/>
      <c r="S52" s="39"/>
      <c r="T52" s="39"/>
      <c r="U52" s="39"/>
      <c r="V52" s="39"/>
      <c r="W52" s="3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35" t="s">
        <v>21</v>
      </c>
      <c r="B53" s="35" t="s">
        <v>35</v>
      </c>
      <c r="C53" s="35" t="s">
        <v>36</v>
      </c>
      <c r="D53" s="35" t="s">
        <v>34</v>
      </c>
      <c r="E53" s="35" t="s">
        <v>25</v>
      </c>
      <c r="F53" s="35" t="s">
        <v>25</v>
      </c>
      <c r="G53" s="35" t="s">
        <v>25</v>
      </c>
      <c r="H53" s="35" t="s">
        <v>25</v>
      </c>
      <c r="I53" s="55">
        <v>44531</v>
      </c>
      <c r="J53" s="56">
        <f ca="1">EFEITO!$J$53*EFEITO!$Y$53</f>
        <v>65610.025703055653</v>
      </c>
      <c r="K53" s="56">
        <f>EFEITO!$L$53*EFEITO!$Z$53</f>
        <v>0</v>
      </c>
      <c r="L53" s="56">
        <f>EFEITO!$N$53*EFEITO!$AA$53</f>
        <v>0</v>
      </c>
      <c r="M53" s="56">
        <f ca="1">$J$53-EFEITO!$K$53*EFEITO!$Y$53</f>
        <v>0</v>
      </c>
      <c r="N53" s="56">
        <f>$K$53-EFEITO!$M$53*EFEITO!$Z$53</f>
        <v>0</v>
      </c>
      <c r="O53" s="56">
        <f>$L$53-EFEITO!$O$53*EFEITO!$AA$53</f>
        <v>0</v>
      </c>
      <c r="P53" s="39"/>
      <c r="Q53" s="39"/>
      <c r="R53" s="39"/>
      <c r="S53" s="39"/>
      <c r="T53" s="39"/>
      <c r="U53" s="39"/>
      <c r="V53" s="39"/>
      <c r="W53" s="3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35" t="s">
        <v>21</v>
      </c>
      <c r="B54" s="35" t="s">
        <v>35</v>
      </c>
      <c r="C54" s="35" t="s">
        <v>36</v>
      </c>
      <c r="D54" s="35" t="s">
        <v>34</v>
      </c>
      <c r="E54" s="35" t="s">
        <v>25</v>
      </c>
      <c r="F54" s="35" t="s">
        <v>25</v>
      </c>
      <c r="G54" s="35" t="s">
        <v>25</v>
      </c>
      <c r="H54" s="35" t="s">
        <v>25</v>
      </c>
      <c r="I54" s="55">
        <v>44562</v>
      </c>
      <c r="J54" s="56">
        <f ca="1">EFEITO!$J$54*EFEITO!$Y$54</f>
        <v>65197.167649339513</v>
      </c>
      <c r="K54" s="56">
        <f>EFEITO!$L$54*EFEITO!$Z$54</f>
        <v>0</v>
      </c>
      <c r="L54" s="56">
        <f>EFEITO!$N$54*EFEITO!$AA$54</f>
        <v>0</v>
      </c>
      <c r="M54" s="56">
        <f ca="1">$J$54-EFEITO!$K$54*EFEITO!$Y$54</f>
        <v>0</v>
      </c>
      <c r="N54" s="56">
        <f>$K$54-EFEITO!$M$54*EFEITO!$Z$54</f>
        <v>0</v>
      </c>
      <c r="O54" s="56">
        <f>$L$54-EFEITO!$O$54*EFEITO!$AA$54</f>
        <v>0</v>
      </c>
      <c r="P54" s="39"/>
      <c r="Q54" s="39"/>
      <c r="R54" s="39"/>
      <c r="S54" s="39"/>
      <c r="T54" s="39"/>
      <c r="U54" s="39"/>
      <c r="V54" s="39"/>
      <c r="W54" s="3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35" t="s">
        <v>21</v>
      </c>
      <c r="B55" s="35" t="s">
        <v>35</v>
      </c>
      <c r="C55" s="35" t="s">
        <v>36</v>
      </c>
      <c r="D55" s="35" t="s">
        <v>34</v>
      </c>
      <c r="E55" s="35" t="s">
        <v>25</v>
      </c>
      <c r="F55" s="35" t="s">
        <v>25</v>
      </c>
      <c r="G55" s="35" t="s">
        <v>25</v>
      </c>
      <c r="H55" s="35" t="s">
        <v>25</v>
      </c>
      <c r="I55" s="55">
        <v>44593</v>
      </c>
      <c r="J55" s="56">
        <f ca="1">EFEITO!$J$55*EFEITO!$Y$55</f>
        <v>65644.430540865331</v>
      </c>
      <c r="K55" s="56">
        <f>EFEITO!$L$55*EFEITO!$Z$55</f>
        <v>0</v>
      </c>
      <c r="L55" s="56">
        <f>EFEITO!$N$55*EFEITO!$AA$55</f>
        <v>0</v>
      </c>
      <c r="M55" s="56">
        <f ca="1">$J$55-EFEITO!$K$55*EFEITO!$Y$55</f>
        <v>0</v>
      </c>
      <c r="N55" s="56">
        <f>$K$55-EFEITO!$M$55*EFEITO!$Z$55</f>
        <v>0</v>
      </c>
      <c r="O55" s="56">
        <f>$L$55-EFEITO!$O$55*EFEITO!$AA$55</f>
        <v>0</v>
      </c>
      <c r="P55" s="39"/>
      <c r="Q55" s="39"/>
      <c r="R55" s="39"/>
      <c r="S55" s="39"/>
      <c r="T55" s="39"/>
      <c r="U55" s="39"/>
      <c r="V55" s="39"/>
      <c r="W55" s="3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35" t="s">
        <v>21</v>
      </c>
      <c r="B56" s="35" t="s">
        <v>35</v>
      </c>
      <c r="C56" s="35" t="s">
        <v>36</v>
      </c>
      <c r="D56" s="35" t="s">
        <v>34</v>
      </c>
      <c r="E56" s="35" t="s">
        <v>25</v>
      </c>
      <c r="F56" s="35" t="s">
        <v>25</v>
      </c>
      <c r="G56" s="35" t="s">
        <v>25</v>
      </c>
      <c r="H56" s="35" t="s">
        <v>25</v>
      </c>
      <c r="I56" s="55">
        <v>44621</v>
      </c>
      <c r="J56" s="56">
        <f ca="1">EFEITO!$J$56*EFEITO!$Y$56</f>
        <v>65265.977324958869</v>
      </c>
      <c r="K56" s="56">
        <f>EFEITO!$L$56*EFEITO!$Z$56</f>
        <v>0</v>
      </c>
      <c r="L56" s="56">
        <f>EFEITO!$N$56*EFEITO!$AA$56</f>
        <v>0</v>
      </c>
      <c r="M56" s="56">
        <f ca="1">$J$56-EFEITO!$K$56*EFEITO!$Y$56</f>
        <v>0</v>
      </c>
      <c r="N56" s="56">
        <f>$K$56-EFEITO!$M$56*EFEITO!$Z$56</f>
        <v>0</v>
      </c>
      <c r="O56" s="56">
        <f>$L$56-EFEITO!$O$56*EFEITO!$AA$56</f>
        <v>0</v>
      </c>
      <c r="P56" s="39"/>
      <c r="Q56" s="39"/>
      <c r="R56" s="39"/>
      <c r="S56" s="39"/>
      <c r="T56" s="39"/>
      <c r="U56" s="39"/>
      <c r="V56" s="39"/>
      <c r="W56" s="3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35" t="s">
        <v>21</v>
      </c>
      <c r="B57" s="35" t="s">
        <v>35</v>
      </c>
      <c r="C57" s="35" t="s">
        <v>36</v>
      </c>
      <c r="D57" s="35" t="s">
        <v>34</v>
      </c>
      <c r="E57" s="35" t="s">
        <v>25</v>
      </c>
      <c r="F57" s="35" t="s">
        <v>25</v>
      </c>
      <c r="G57" s="35" t="s">
        <v>25</v>
      </c>
      <c r="H57" s="35" t="s">
        <v>25</v>
      </c>
      <c r="I57" s="55">
        <v>44652</v>
      </c>
      <c r="J57" s="56">
        <f ca="1">EFEITO!$J$57*EFEITO!$Y$57</f>
        <v>62651.209651423356</v>
      </c>
      <c r="K57" s="56">
        <f>EFEITO!$L$57*EFEITO!$Z$57</f>
        <v>0</v>
      </c>
      <c r="L57" s="56">
        <f>EFEITO!$N$57*EFEITO!$AA$57</f>
        <v>0</v>
      </c>
      <c r="M57" s="56">
        <f ca="1">$J$57-EFEITO!$K$57*EFEITO!$Y$57</f>
        <v>0</v>
      </c>
      <c r="N57" s="56">
        <f>$K$57-EFEITO!$M$57*EFEITO!$Z$57</f>
        <v>0</v>
      </c>
      <c r="O57" s="56">
        <f>$L$57-EFEITO!$O$57*EFEITO!$AA$57</f>
        <v>0</v>
      </c>
      <c r="P57" s="39"/>
      <c r="Q57" s="39"/>
      <c r="R57" s="39"/>
      <c r="S57" s="39"/>
      <c r="T57" s="39"/>
      <c r="U57" s="39"/>
      <c r="V57" s="39"/>
      <c r="W57" s="3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35" t="s">
        <v>21</v>
      </c>
      <c r="B58" s="35" t="s">
        <v>35</v>
      </c>
      <c r="C58" s="35" t="s">
        <v>36</v>
      </c>
      <c r="D58" s="35" t="s">
        <v>34</v>
      </c>
      <c r="E58" s="35" t="s">
        <v>25</v>
      </c>
      <c r="F58" s="35" t="s">
        <v>25</v>
      </c>
      <c r="G58" s="35" t="s">
        <v>25</v>
      </c>
      <c r="H58" s="35" t="s">
        <v>25</v>
      </c>
      <c r="I58" s="55">
        <v>44682</v>
      </c>
      <c r="J58" s="56">
        <f ca="1">EFEITO!$J$58*EFEITO!$Y$58</f>
        <v>61928.708057420117</v>
      </c>
      <c r="K58" s="56">
        <f>EFEITO!$L$58*EFEITO!$Z$58</f>
        <v>0</v>
      </c>
      <c r="L58" s="56">
        <f>EFEITO!$N$58*EFEITO!$AA$58</f>
        <v>0</v>
      </c>
      <c r="M58" s="56">
        <f ca="1">$J$58-EFEITO!$K$58*EFEITO!$Y$58</f>
        <v>0</v>
      </c>
      <c r="N58" s="56">
        <f>$K$58-EFEITO!$M$58*EFEITO!$Z$58</f>
        <v>0</v>
      </c>
      <c r="O58" s="56">
        <f>$L$58-EFEITO!$O$58*EFEITO!$AA$58</f>
        <v>0</v>
      </c>
      <c r="P58" s="39"/>
      <c r="Q58" s="39"/>
      <c r="R58" s="39"/>
      <c r="S58" s="39"/>
      <c r="T58" s="39"/>
      <c r="U58" s="39"/>
      <c r="V58" s="39"/>
      <c r="W58" s="3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35" t="s">
        <v>21</v>
      </c>
      <c r="B59" s="35" t="s">
        <v>35</v>
      </c>
      <c r="C59" s="35" t="s">
        <v>36</v>
      </c>
      <c r="D59" s="35" t="s">
        <v>34</v>
      </c>
      <c r="E59" s="35" t="s">
        <v>25</v>
      </c>
      <c r="F59" s="35" t="s">
        <v>25</v>
      </c>
      <c r="G59" s="35" t="s">
        <v>25</v>
      </c>
      <c r="H59" s="35" t="s">
        <v>25</v>
      </c>
      <c r="I59" s="55">
        <v>44713</v>
      </c>
      <c r="J59" s="56">
        <f ca="1">EFEITO!$J$59*EFEITO!$Y$59</f>
        <v>61619.064517133018</v>
      </c>
      <c r="K59" s="56">
        <f>EFEITO!$L$59*EFEITO!$Z$59</f>
        <v>0</v>
      </c>
      <c r="L59" s="56">
        <f>EFEITO!$N$59*EFEITO!$AA$59</f>
        <v>0</v>
      </c>
      <c r="M59" s="56">
        <f ca="1">$J$59-EFEITO!$K$59*EFEITO!$Y$59</f>
        <v>0</v>
      </c>
      <c r="N59" s="56">
        <f>$K$59-EFEITO!$M$59*EFEITO!$Z$59</f>
        <v>0</v>
      </c>
      <c r="O59" s="56">
        <f>$L$59-EFEITO!$O$59*EFEITO!$AA$59</f>
        <v>0</v>
      </c>
      <c r="P59" s="39"/>
      <c r="Q59" s="39"/>
      <c r="R59" s="39"/>
      <c r="S59" s="39"/>
      <c r="T59" s="39"/>
      <c r="U59" s="39"/>
      <c r="V59" s="39"/>
      <c r="W59" s="3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35" t="s">
        <v>21</v>
      </c>
      <c r="B60" s="35" t="s">
        <v>35</v>
      </c>
      <c r="C60" s="35" t="s">
        <v>36</v>
      </c>
      <c r="D60" s="35" t="s">
        <v>34</v>
      </c>
      <c r="E60" s="35" t="s">
        <v>25</v>
      </c>
      <c r="F60" s="35" t="s">
        <v>25</v>
      </c>
      <c r="G60" s="35" t="s">
        <v>25</v>
      </c>
      <c r="H60" s="35" t="s">
        <v>25</v>
      </c>
      <c r="I60" s="55">
        <v>44743</v>
      </c>
      <c r="J60" s="56">
        <f ca="1">EFEITO!$J$60*EFEITO!$Y$60</f>
        <v>62720.019327042712</v>
      </c>
      <c r="K60" s="56">
        <f>EFEITO!$L$60*EFEITO!$Z$60</f>
        <v>0</v>
      </c>
      <c r="L60" s="56">
        <f>EFEITO!$N$60*EFEITO!$AA$60</f>
        <v>0</v>
      </c>
      <c r="M60" s="56">
        <f ca="1">$J$60-EFEITO!$K$60*EFEITO!$Y$60</f>
        <v>0</v>
      </c>
      <c r="N60" s="56">
        <f>$K$60-EFEITO!$M$60*EFEITO!$Z$60</f>
        <v>0</v>
      </c>
      <c r="O60" s="56">
        <f>$L$60-EFEITO!$O$60*EFEITO!$AA$60</f>
        <v>0</v>
      </c>
      <c r="P60" s="39"/>
      <c r="Q60" s="39"/>
      <c r="R60" s="39"/>
      <c r="S60" s="39"/>
      <c r="T60" s="39"/>
      <c r="U60" s="39"/>
      <c r="V60" s="39"/>
      <c r="W60" s="3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35" t="s">
        <v>21</v>
      </c>
      <c r="B61" s="35" t="s">
        <v>35</v>
      </c>
      <c r="C61" s="35" t="s">
        <v>36</v>
      </c>
      <c r="D61" s="35" t="s">
        <v>34</v>
      </c>
      <c r="E61" s="35" t="s">
        <v>25</v>
      </c>
      <c r="F61" s="35" t="s">
        <v>25</v>
      </c>
      <c r="G61" s="35" t="s">
        <v>25</v>
      </c>
      <c r="H61" s="35" t="s">
        <v>25</v>
      </c>
      <c r="I61" s="55">
        <v>44774</v>
      </c>
      <c r="J61" s="56">
        <f ca="1">EFEITO!$J$61*EFEITO!$Y$61</f>
        <v>62823.233840471745</v>
      </c>
      <c r="K61" s="56">
        <f>EFEITO!$L$61*EFEITO!$Z$61</f>
        <v>0</v>
      </c>
      <c r="L61" s="56">
        <f>EFEITO!$N$61*EFEITO!$AA$61</f>
        <v>0</v>
      </c>
      <c r="M61" s="56">
        <f ca="1">$J$61-EFEITO!$K$61*EFEITO!$Y$61</f>
        <v>0</v>
      </c>
      <c r="N61" s="56">
        <f>$K$61-EFEITO!$M$61*EFEITO!$Z$61</f>
        <v>0</v>
      </c>
      <c r="O61" s="56">
        <f>$L$61-EFEITO!$O$61*EFEITO!$AA$61</f>
        <v>0</v>
      </c>
      <c r="P61" s="39"/>
      <c r="Q61" s="39"/>
      <c r="R61" s="39"/>
      <c r="S61" s="39"/>
      <c r="T61" s="39"/>
      <c r="U61" s="39"/>
      <c r="V61" s="39"/>
      <c r="W61" s="3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35" t="s">
        <v>21</v>
      </c>
      <c r="B62" s="35" t="s">
        <v>35</v>
      </c>
      <c r="C62" s="35" t="s">
        <v>36</v>
      </c>
      <c r="D62" s="35" t="s">
        <v>34</v>
      </c>
      <c r="E62" s="35" t="s">
        <v>25</v>
      </c>
      <c r="F62" s="35" t="s">
        <v>25</v>
      </c>
      <c r="G62" s="35" t="s">
        <v>25</v>
      </c>
      <c r="H62" s="35" t="s">
        <v>37</v>
      </c>
      <c r="I62" s="55">
        <v>44440</v>
      </c>
      <c r="J62" s="56">
        <f>EFEITO!$J$62*EFEITO!$Y$62</f>
        <v>0</v>
      </c>
      <c r="K62" s="56">
        <f ca="1">EFEITO!$L$62*EFEITO!$Z$62</f>
        <v>35889.904045473399</v>
      </c>
      <c r="L62" s="56">
        <f>EFEITO!$N$62*EFEITO!$AA$62</f>
        <v>2080.4265347229571</v>
      </c>
      <c r="M62" s="56">
        <f>$J$62-EFEITO!$K$62*EFEITO!$Y$62</f>
        <v>0</v>
      </c>
      <c r="N62" s="56">
        <f ca="1">$K$62-EFEITO!$M$62*EFEITO!$Z$62</f>
        <v>0</v>
      </c>
      <c r="O62" s="56">
        <f>$L$62-EFEITO!$O$62*EFEITO!$AA$62</f>
        <v>0</v>
      </c>
      <c r="P62" s="39"/>
      <c r="Q62" s="39"/>
      <c r="R62" s="39"/>
      <c r="S62" s="39"/>
      <c r="T62" s="39"/>
      <c r="U62" s="39"/>
      <c r="V62" s="39"/>
      <c r="W62" s="3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35" t="s">
        <v>21</v>
      </c>
      <c r="B63" s="35" t="s">
        <v>35</v>
      </c>
      <c r="C63" s="35" t="s">
        <v>36</v>
      </c>
      <c r="D63" s="35" t="s">
        <v>34</v>
      </c>
      <c r="E63" s="35" t="s">
        <v>25</v>
      </c>
      <c r="F63" s="35" t="s">
        <v>25</v>
      </c>
      <c r="G63" s="35" t="s">
        <v>25</v>
      </c>
      <c r="H63" s="35" t="s">
        <v>37</v>
      </c>
      <c r="I63" s="55">
        <v>44470</v>
      </c>
      <c r="J63" s="56">
        <f>EFEITO!$J$63*EFEITO!$Y$63</f>
        <v>0</v>
      </c>
      <c r="K63" s="56">
        <f ca="1">EFEITO!$L$63*EFEITO!$Z$63</f>
        <v>35337.465649746431</v>
      </c>
      <c r="L63" s="56">
        <f>EFEITO!$N$63*EFEITO!$AA$63</f>
        <v>2048.4033926211014</v>
      </c>
      <c r="M63" s="56">
        <f>$J$63-EFEITO!$K$63*EFEITO!$Y$63</f>
        <v>0</v>
      </c>
      <c r="N63" s="56">
        <f ca="1">$K$63-EFEITO!$M$63*EFEITO!$Z$63</f>
        <v>0</v>
      </c>
      <c r="O63" s="56">
        <f>$L$63-EFEITO!$O$63*EFEITO!$AA$63</f>
        <v>0</v>
      </c>
      <c r="P63" s="39"/>
      <c r="Q63" s="39"/>
      <c r="R63" s="39"/>
      <c r="S63" s="39"/>
      <c r="T63" s="39"/>
      <c r="U63" s="39"/>
      <c r="V63" s="39"/>
      <c r="W63" s="3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35" t="s">
        <v>21</v>
      </c>
      <c r="B64" s="35" t="s">
        <v>35</v>
      </c>
      <c r="C64" s="35" t="s">
        <v>36</v>
      </c>
      <c r="D64" s="35" t="s">
        <v>34</v>
      </c>
      <c r="E64" s="35" t="s">
        <v>25</v>
      </c>
      <c r="F64" s="35" t="s">
        <v>25</v>
      </c>
      <c r="G64" s="35" t="s">
        <v>25</v>
      </c>
      <c r="H64" s="35" t="s">
        <v>37</v>
      </c>
      <c r="I64" s="55">
        <v>44501</v>
      </c>
      <c r="J64" s="56">
        <f>EFEITO!$J$64*EFEITO!$Y$64</f>
        <v>0</v>
      </c>
      <c r="K64" s="56">
        <f ca="1">EFEITO!$L$64*EFEITO!$Z$64</f>
        <v>40646.717347141632</v>
      </c>
      <c r="L64" s="56">
        <f>EFEITO!$N$64*EFEITO!$AA$64</f>
        <v>2356.1642631096083</v>
      </c>
      <c r="M64" s="56">
        <f>$J$64-EFEITO!$K$64*EFEITO!$Y$64</f>
        <v>0</v>
      </c>
      <c r="N64" s="56">
        <f ca="1">$K$64-EFEITO!$M$64*EFEITO!$Z$64</f>
        <v>0</v>
      </c>
      <c r="O64" s="56">
        <f>$L$64-EFEITO!$O$64*EFEITO!$AA$64</f>
        <v>0</v>
      </c>
      <c r="P64" s="39"/>
      <c r="Q64" s="39"/>
      <c r="R64" s="39"/>
      <c r="S64" s="39"/>
      <c r="T64" s="39"/>
      <c r="U64" s="39"/>
      <c r="V64" s="39"/>
      <c r="W64" s="3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35" t="s">
        <v>21</v>
      </c>
      <c r="B65" s="35" t="s">
        <v>35</v>
      </c>
      <c r="C65" s="35" t="s">
        <v>36</v>
      </c>
      <c r="D65" s="35" t="s">
        <v>34</v>
      </c>
      <c r="E65" s="35" t="s">
        <v>25</v>
      </c>
      <c r="F65" s="35" t="s">
        <v>25</v>
      </c>
      <c r="G65" s="35" t="s">
        <v>25</v>
      </c>
      <c r="H65" s="35" t="s">
        <v>37</v>
      </c>
      <c r="I65" s="55">
        <v>44531</v>
      </c>
      <c r="J65" s="56">
        <f>EFEITO!$J$65*EFEITO!$Y$65</f>
        <v>0</v>
      </c>
      <c r="K65" s="56">
        <f ca="1">EFEITO!$L$65*EFEITO!$Z$65</f>
        <v>35364.025188002539</v>
      </c>
      <c r="L65" s="56">
        <f>EFEITO!$N$65*EFEITO!$AA$65</f>
        <v>2049.9429667606137</v>
      </c>
      <c r="M65" s="56">
        <f>$J$65-EFEITO!$K$65*EFEITO!$Y$65</f>
        <v>0</v>
      </c>
      <c r="N65" s="56">
        <f ca="1">$K$65-EFEITO!$M$65*EFEITO!$Z$65</f>
        <v>0</v>
      </c>
      <c r="O65" s="56">
        <f>$L$65-EFEITO!$O$65*EFEITO!$AA$65</f>
        <v>0</v>
      </c>
      <c r="P65" s="39"/>
      <c r="Q65" s="39"/>
      <c r="R65" s="39"/>
      <c r="S65" s="39"/>
      <c r="T65" s="39"/>
      <c r="U65" s="39"/>
      <c r="V65" s="39"/>
      <c r="W65" s="3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35" t="s">
        <v>21</v>
      </c>
      <c r="B66" s="35" t="s">
        <v>35</v>
      </c>
      <c r="C66" s="35" t="s">
        <v>36</v>
      </c>
      <c r="D66" s="35" t="s">
        <v>34</v>
      </c>
      <c r="E66" s="35" t="s">
        <v>25</v>
      </c>
      <c r="F66" s="35" t="s">
        <v>25</v>
      </c>
      <c r="G66" s="35" t="s">
        <v>25</v>
      </c>
      <c r="H66" s="35" t="s">
        <v>37</v>
      </c>
      <c r="I66" s="55">
        <v>44562</v>
      </c>
      <c r="J66" s="56">
        <f>EFEITO!$J$66*EFEITO!$Y$66</f>
        <v>0</v>
      </c>
      <c r="K66" s="56">
        <f ca="1">EFEITO!$L$66*EFEITO!$Z$66</f>
        <v>36399.847179990596</v>
      </c>
      <c r="L66" s="56">
        <f>EFEITO!$N$66*EFEITO!$AA$66</f>
        <v>2109.9863582015932</v>
      </c>
      <c r="M66" s="56">
        <f>$J$66-EFEITO!$K$66*EFEITO!$Y$66</f>
        <v>0</v>
      </c>
      <c r="N66" s="56">
        <f ca="1">$K$66-EFEITO!$M$66*EFEITO!$Z$66</f>
        <v>0</v>
      </c>
      <c r="O66" s="56">
        <f>$L$66-EFEITO!$O$66*EFEITO!$AA$66</f>
        <v>0</v>
      </c>
      <c r="P66" s="39"/>
      <c r="Q66" s="39"/>
      <c r="R66" s="39"/>
      <c r="S66" s="39"/>
      <c r="T66" s="39"/>
      <c r="U66" s="39"/>
      <c r="V66" s="39"/>
      <c r="W66" s="3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35" t="s">
        <v>21</v>
      </c>
      <c r="B67" s="35" t="s">
        <v>35</v>
      </c>
      <c r="C67" s="35" t="s">
        <v>36</v>
      </c>
      <c r="D67" s="35" t="s">
        <v>34</v>
      </c>
      <c r="E67" s="35" t="s">
        <v>25</v>
      </c>
      <c r="F67" s="35" t="s">
        <v>25</v>
      </c>
      <c r="G67" s="35" t="s">
        <v>25</v>
      </c>
      <c r="H67" s="35" t="s">
        <v>37</v>
      </c>
      <c r="I67" s="55">
        <v>44593</v>
      </c>
      <c r="J67" s="56">
        <f>EFEITO!$J$67*EFEITO!$Y$67</f>
        <v>0</v>
      </c>
      <c r="K67" s="56">
        <f ca="1">EFEITO!$L$67*EFEITO!$Z$67</f>
        <v>40973.399667691709</v>
      </c>
      <c r="L67" s="56">
        <f>EFEITO!$N$67*EFEITO!$AA$67</f>
        <v>2375.1010250256095</v>
      </c>
      <c r="M67" s="56">
        <f>$J$67-EFEITO!$K$67*EFEITO!$Y$67</f>
        <v>0</v>
      </c>
      <c r="N67" s="56">
        <f ca="1">$K$67-EFEITO!$M$67*EFEITO!$Z$67</f>
        <v>0</v>
      </c>
      <c r="O67" s="56">
        <f>$L$67-EFEITO!$O$67*EFEITO!$AA$67</f>
        <v>0</v>
      </c>
      <c r="P67" s="39"/>
      <c r="Q67" s="39"/>
      <c r="R67" s="39"/>
      <c r="S67" s="39"/>
      <c r="T67" s="39"/>
      <c r="U67" s="39"/>
      <c r="V67" s="39"/>
      <c r="W67" s="39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35" t="s">
        <v>21</v>
      </c>
      <c r="B68" s="35" t="s">
        <v>35</v>
      </c>
      <c r="C68" s="35" t="s">
        <v>36</v>
      </c>
      <c r="D68" s="35" t="s">
        <v>34</v>
      </c>
      <c r="E68" s="35" t="s">
        <v>25</v>
      </c>
      <c r="F68" s="35" t="s">
        <v>25</v>
      </c>
      <c r="G68" s="35" t="s">
        <v>25</v>
      </c>
      <c r="H68" s="35" t="s">
        <v>37</v>
      </c>
      <c r="I68" s="55">
        <v>44621</v>
      </c>
      <c r="J68" s="56">
        <f>EFEITO!$J$68*EFEITO!$Y$68</f>
        <v>0</v>
      </c>
      <c r="K68" s="56">
        <f ca="1">EFEITO!$L$68*EFEITO!$Z$68</f>
        <v>39690.57396992189</v>
      </c>
      <c r="L68" s="56">
        <f>EFEITO!$N$68*EFEITO!$AA$68</f>
        <v>2300.7395940871661</v>
      </c>
      <c r="M68" s="56">
        <f>$J$68-EFEITO!$K$68*EFEITO!$Y$68</f>
        <v>0</v>
      </c>
      <c r="N68" s="56">
        <f ca="1">$K$68-EFEITO!$M$68*EFEITO!$Z$68</f>
        <v>0</v>
      </c>
      <c r="O68" s="56">
        <f>$L$68-EFEITO!$O$68*EFEITO!$AA$68</f>
        <v>0</v>
      </c>
      <c r="P68" s="39"/>
      <c r="Q68" s="39"/>
      <c r="R68" s="39"/>
      <c r="S68" s="39"/>
      <c r="T68" s="39"/>
      <c r="U68" s="39"/>
      <c r="V68" s="39"/>
      <c r="W68" s="39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35" t="s">
        <v>21</v>
      </c>
      <c r="B69" s="35" t="s">
        <v>35</v>
      </c>
      <c r="C69" s="35" t="s">
        <v>36</v>
      </c>
      <c r="D69" s="35" t="s">
        <v>34</v>
      </c>
      <c r="E69" s="35" t="s">
        <v>25</v>
      </c>
      <c r="F69" s="35" t="s">
        <v>25</v>
      </c>
      <c r="G69" s="35" t="s">
        <v>25</v>
      </c>
      <c r="H69" s="35" t="s">
        <v>37</v>
      </c>
      <c r="I69" s="55">
        <v>44652</v>
      </c>
      <c r="J69" s="56">
        <f>EFEITO!$J$69*EFEITO!$Y$69</f>
        <v>0</v>
      </c>
      <c r="K69" s="56">
        <f ca="1">EFEITO!$L$69*EFEITO!$Z$69</f>
        <v>32461.067656610365</v>
      </c>
      <c r="L69" s="56">
        <f>EFEITO!$N$69*EFEITO!$AA$69</f>
        <v>1881.6675133119204</v>
      </c>
      <c r="M69" s="56">
        <f>$J$69-EFEITO!$K$69*EFEITO!$Y$69</f>
        <v>0</v>
      </c>
      <c r="N69" s="56">
        <f ca="1">$K$69-EFEITO!$M$69*EFEITO!$Z$69</f>
        <v>0</v>
      </c>
      <c r="O69" s="56">
        <f>$L$69-EFEITO!$O$69*EFEITO!$AA$69</f>
        <v>0</v>
      </c>
      <c r="P69" s="39"/>
      <c r="Q69" s="39"/>
      <c r="R69" s="39"/>
      <c r="S69" s="39"/>
      <c r="T69" s="39"/>
      <c r="U69" s="39"/>
      <c r="V69" s="39"/>
      <c r="W69" s="39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35" t="s">
        <v>21</v>
      </c>
      <c r="B70" s="35" t="s">
        <v>35</v>
      </c>
      <c r="C70" s="35" t="s">
        <v>36</v>
      </c>
      <c r="D70" s="35" t="s">
        <v>34</v>
      </c>
      <c r="E70" s="35" t="s">
        <v>25</v>
      </c>
      <c r="F70" s="35" t="s">
        <v>25</v>
      </c>
      <c r="G70" s="35" t="s">
        <v>25</v>
      </c>
      <c r="H70" s="35" t="s">
        <v>37</v>
      </c>
      <c r="I70" s="55">
        <v>44682</v>
      </c>
      <c r="J70" s="56">
        <f>EFEITO!$J$70*EFEITO!$Y$70</f>
        <v>0</v>
      </c>
      <c r="K70" s="56">
        <f ca="1">EFEITO!$L$70*EFEITO!$Z$70</f>
        <v>30054.773490607342</v>
      </c>
      <c r="L70" s="56">
        <f>EFEITO!$N$70*EFEITO!$AA$70</f>
        <v>1742.1820962721072</v>
      </c>
      <c r="M70" s="56">
        <f>$J$70-EFEITO!$K$70*EFEITO!$Y$70</f>
        <v>0</v>
      </c>
      <c r="N70" s="56">
        <f ca="1">$K$70-EFEITO!$M$70*EFEITO!$Z$70</f>
        <v>0</v>
      </c>
      <c r="O70" s="56">
        <f>$L$70-EFEITO!$O$70*EFEITO!$AA$70</f>
        <v>0</v>
      </c>
      <c r="P70" s="39"/>
      <c r="Q70" s="39"/>
      <c r="R70" s="39"/>
      <c r="S70" s="39"/>
      <c r="T70" s="39"/>
      <c r="U70" s="39"/>
      <c r="V70" s="39"/>
      <c r="W70" s="39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35" t="s">
        <v>21</v>
      </c>
      <c r="B71" s="35" t="s">
        <v>35</v>
      </c>
      <c r="C71" s="35" t="s">
        <v>36</v>
      </c>
      <c r="D71" s="35" t="s">
        <v>34</v>
      </c>
      <c r="E71" s="35" t="s">
        <v>25</v>
      </c>
      <c r="F71" s="35" t="s">
        <v>25</v>
      </c>
      <c r="G71" s="35" t="s">
        <v>25</v>
      </c>
      <c r="H71" s="35" t="s">
        <v>37</v>
      </c>
      <c r="I71" s="55">
        <v>44713</v>
      </c>
      <c r="J71" s="56">
        <f>EFEITO!$J$71*EFEITO!$Y$71</f>
        <v>0</v>
      </c>
      <c r="K71" s="56">
        <f ca="1">EFEITO!$L$71*EFEITO!$Z$71</f>
        <v>28126.551013214186</v>
      </c>
      <c r="L71" s="56">
        <f>EFEITO!$N$71*EFEITO!$AA$71</f>
        <v>1630.4090137435148</v>
      </c>
      <c r="M71" s="56">
        <f>$J$71-EFEITO!$K$71*EFEITO!$Y$71</f>
        <v>0</v>
      </c>
      <c r="N71" s="56">
        <f ca="1">$K$71-EFEITO!$M$71*EFEITO!$Z$71</f>
        <v>0</v>
      </c>
      <c r="O71" s="56">
        <f>$L$71-EFEITO!$O$71*EFEITO!$AA$71</f>
        <v>0</v>
      </c>
      <c r="P71" s="39"/>
      <c r="Q71" s="39"/>
      <c r="R71" s="39"/>
      <c r="S71" s="39"/>
      <c r="T71" s="39"/>
      <c r="U71" s="39"/>
      <c r="V71" s="39"/>
      <c r="W71" s="39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35" t="s">
        <v>21</v>
      </c>
      <c r="B72" s="35" t="s">
        <v>35</v>
      </c>
      <c r="C72" s="35" t="s">
        <v>36</v>
      </c>
      <c r="D72" s="35" t="s">
        <v>34</v>
      </c>
      <c r="E72" s="35" t="s">
        <v>25</v>
      </c>
      <c r="F72" s="35" t="s">
        <v>25</v>
      </c>
      <c r="G72" s="35" t="s">
        <v>25</v>
      </c>
      <c r="H72" s="35" t="s">
        <v>37</v>
      </c>
      <c r="I72" s="55">
        <v>44743</v>
      </c>
      <c r="J72" s="56">
        <f>EFEITO!$J$72*EFEITO!$Y$72</f>
        <v>0</v>
      </c>
      <c r="K72" s="56">
        <f ca="1">EFEITO!$L$72*EFEITO!$Z$72</f>
        <v>32190.160366398104</v>
      </c>
      <c r="L72" s="56">
        <f>EFEITO!$N$72*EFEITO!$AA$72</f>
        <v>1865.9638570888951</v>
      </c>
      <c r="M72" s="56">
        <f>$J$72-EFEITO!$K$72*EFEITO!$Y$72</f>
        <v>0</v>
      </c>
      <c r="N72" s="56">
        <f ca="1">$K$72-EFEITO!$M$72*EFEITO!$Z$72</f>
        <v>0</v>
      </c>
      <c r="O72" s="56">
        <f>$L$72-EFEITO!$O$72*EFEITO!$AA$72</f>
        <v>0</v>
      </c>
      <c r="P72" s="39"/>
      <c r="Q72" s="39"/>
      <c r="R72" s="39"/>
      <c r="S72" s="39"/>
      <c r="T72" s="39"/>
      <c r="U72" s="39"/>
      <c r="V72" s="39"/>
      <c r="W72" s="39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35" t="s">
        <v>21</v>
      </c>
      <c r="B73" s="35" t="s">
        <v>35</v>
      </c>
      <c r="C73" s="35" t="s">
        <v>36</v>
      </c>
      <c r="D73" s="35" t="s">
        <v>34</v>
      </c>
      <c r="E73" s="35" t="s">
        <v>25</v>
      </c>
      <c r="F73" s="35" t="s">
        <v>25</v>
      </c>
      <c r="G73" s="35" t="s">
        <v>25</v>
      </c>
      <c r="H73" s="35" t="s">
        <v>37</v>
      </c>
      <c r="I73" s="55">
        <v>44774</v>
      </c>
      <c r="J73" s="56">
        <f>EFEITO!$J$73*EFEITO!$Y$73</f>
        <v>0</v>
      </c>
      <c r="K73" s="56">
        <f ca="1">EFEITO!$L$73*EFEITO!$Z$73</f>
        <v>32920.547668440966</v>
      </c>
      <c r="L73" s="56">
        <f>EFEITO!$N$73*EFEITO!$AA$73</f>
        <v>1908.302145925483</v>
      </c>
      <c r="M73" s="56">
        <f>$J$73-EFEITO!$K$73*EFEITO!$Y$73</f>
        <v>0</v>
      </c>
      <c r="N73" s="56">
        <f ca="1">$K$73-EFEITO!$M$73*EFEITO!$Z$73</f>
        <v>0</v>
      </c>
      <c r="O73" s="56">
        <f>$L$73-EFEITO!$O$73*EFEITO!$AA$73</f>
        <v>0</v>
      </c>
      <c r="P73" s="39"/>
      <c r="Q73" s="39"/>
      <c r="R73" s="39"/>
      <c r="S73" s="39"/>
      <c r="T73" s="39"/>
      <c r="U73" s="39"/>
      <c r="V73" s="39"/>
      <c r="W73" s="39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35" t="s">
        <v>21</v>
      </c>
      <c r="B74" s="35" t="s">
        <v>35</v>
      </c>
      <c r="C74" s="35" t="s">
        <v>36</v>
      </c>
      <c r="D74" s="35" t="s">
        <v>47</v>
      </c>
      <c r="E74" s="35" t="s">
        <v>48</v>
      </c>
      <c r="F74" s="35" t="s">
        <v>25</v>
      </c>
      <c r="G74" s="35" t="s">
        <v>25</v>
      </c>
      <c r="H74" s="35" t="s">
        <v>38</v>
      </c>
      <c r="I74" s="55">
        <v>44440</v>
      </c>
      <c r="J74" s="56">
        <f>EFEITO!$J$74*EFEITO!$Y$49</f>
        <v>0</v>
      </c>
      <c r="K74" s="56">
        <f ca="1">EFEITO!$L$74*EFEITO!$Z$49</f>
        <v>831.02357074503345</v>
      </c>
      <c r="L74" s="56">
        <f>EFEITO!$N$74*EFEITO!$AA$49</f>
        <v>1312.9488261760807</v>
      </c>
      <c r="M74" s="56">
        <f>$J$74-EFEITO!$K$74*EFEITO!$Y$74</f>
        <v>0</v>
      </c>
      <c r="N74" s="56">
        <f ca="1">$K$74-EFEITO!$M$74*EFEITO!$Z$74</f>
        <v>24.930707122351009</v>
      </c>
      <c r="O74" s="56">
        <f>$L$74-EFEITO!$O$74*EFEITO!$AA$74</f>
        <v>39.388464785282395</v>
      </c>
      <c r="P74" s="39"/>
      <c r="Q74" s="39"/>
      <c r="R74" s="39"/>
      <c r="S74" s="39"/>
      <c r="T74" s="39"/>
      <c r="U74" s="39"/>
      <c r="V74" s="39"/>
      <c r="W74" s="39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35" t="s">
        <v>21</v>
      </c>
      <c r="B75" s="35" t="s">
        <v>35</v>
      </c>
      <c r="C75" s="35" t="s">
        <v>36</v>
      </c>
      <c r="D75" s="35" t="s">
        <v>47</v>
      </c>
      <c r="E75" s="35" t="s">
        <v>48</v>
      </c>
      <c r="F75" s="35" t="s">
        <v>25</v>
      </c>
      <c r="G75" s="35" t="s">
        <v>25</v>
      </c>
      <c r="H75" s="35" t="s">
        <v>38</v>
      </c>
      <c r="I75" s="55">
        <v>44470</v>
      </c>
      <c r="J75" s="56">
        <f>EFEITO!$J$75*EFEITO!$Y$49</f>
        <v>0</v>
      </c>
      <c r="K75" s="56">
        <f ca="1">EFEITO!$L$75*EFEITO!$Z$49</f>
        <v>946.8874339739084</v>
      </c>
      <c r="L75" s="56">
        <f>EFEITO!$N$75*EFEITO!$AA$49</f>
        <v>1496.0041913640921</v>
      </c>
      <c r="M75" s="56">
        <f>$J$75-EFEITO!$K$75*EFEITO!$Y$75</f>
        <v>0</v>
      </c>
      <c r="N75" s="56">
        <f ca="1">$K$75-EFEITO!$M$75*EFEITO!$Z$75</f>
        <v>28.40662301921725</v>
      </c>
      <c r="O75" s="56">
        <f>$L$75-EFEITO!$O$75*EFEITO!$AA$75</f>
        <v>44.880125740922722</v>
      </c>
      <c r="P75" s="39"/>
      <c r="Q75" s="39"/>
      <c r="R75" s="39"/>
      <c r="S75" s="39"/>
      <c r="T75" s="39"/>
      <c r="U75" s="39"/>
      <c r="V75" s="39"/>
      <c r="W75" s="39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35" t="s">
        <v>21</v>
      </c>
      <c r="B76" s="35" t="s">
        <v>35</v>
      </c>
      <c r="C76" s="35" t="s">
        <v>36</v>
      </c>
      <c r="D76" s="35" t="s">
        <v>47</v>
      </c>
      <c r="E76" s="35" t="s">
        <v>48</v>
      </c>
      <c r="F76" s="35" t="s">
        <v>25</v>
      </c>
      <c r="G76" s="35" t="s">
        <v>25</v>
      </c>
      <c r="H76" s="35" t="s">
        <v>38</v>
      </c>
      <c r="I76" s="55">
        <v>44501</v>
      </c>
      <c r="J76" s="56">
        <f>EFEITO!$J$76*EFEITO!$Y$49</f>
        <v>0</v>
      </c>
      <c r="K76" s="56">
        <f ca="1">EFEITO!$L$76*EFEITO!$Z$49</f>
        <v>1050.7653803170374</v>
      </c>
      <c r="L76" s="56">
        <f>EFEITO!$N$76*EFEITO!$AA$49</f>
        <v>1660.1227946361018</v>
      </c>
      <c r="M76" s="56">
        <f>$J$76-EFEITO!$K$76*EFEITO!$Y$76</f>
        <v>0</v>
      </c>
      <c r="N76" s="56">
        <f ca="1">$K$76-EFEITO!$M$76*EFEITO!$Z$76</f>
        <v>31.52296140951114</v>
      </c>
      <c r="O76" s="56">
        <f>$L$76-EFEITO!$O$76*EFEITO!$AA$76</f>
        <v>49.803683839082851</v>
      </c>
      <c r="P76" s="39"/>
      <c r="Q76" s="39"/>
      <c r="R76" s="39"/>
      <c r="S76" s="39"/>
      <c r="T76" s="39"/>
      <c r="U76" s="39"/>
      <c r="V76" s="39"/>
      <c r="W76" s="39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35" t="s">
        <v>21</v>
      </c>
      <c r="B77" s="35" t="s">
        <v>35</v>
      </c>
      <c r="C77" s="35" t="s">
        <v>36</v>
      </c>
      <c r="D77" s="35" t="s">
        <v>47</v>
      </c>
      <c r="E77" s="35" t="s">
        <v>48</v>
      </c>
      <c r="F77" s="35" t="s">
        <v>25</v>
      </c>
      <c r="G77" s="35" t="s">
        <v>25</v>
      </c>
      <c r="H77" s="35" t="s">
        <v>38</v>
      </c>
      <c r="I77" s="55">
        <v>44531</v>
      </c>
      <c r="J77" s="56">
        <f>EFEITO!$J$77*EFEITO!$Y$49</f>
        <v>0</v>
      </c>
      <c r="K77" s="56">
        <f ca="1">EFEITO!$L$77*EFEITO!$Z$49</f>
        <v>910.92968331667134</v>
      </c>
      <c r="L77" s="56">
        <f>EFEITO!$N$77*EFEITO!$AA$49</f>
        <v>1439.1939056160886</v>
      </c>
      <c r="M77" s="56">
        <f>$J$77-EFEITO!$K$77*EFEITO!$Y$77</f>
        <v>0</v>
      </c>
      <c r="N77" s="56">
        <f ca="1">$K$77-EFEITO!$M$77*EFEITO!$Z$77</f>
        <v>27.327890499500086</v>
      </c>
      <c r="O77" s="56">
        <f>$L$77-EFEITO!$O$77*EFEITO!$AA$77</f>
        <v>43.175817168482581</v>
      </c>
      <c r="P77" s="39"/>
      <c r="Q77" s="39"/>
      <c r="R77" s="39"/>
      <c r="S77" s="39"/>
      <c r="T77" s="39"/>
      <c r="U77" s="39"/>
      <c r="V77" s="39"/>
      <c r="W77" s="39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35" t="s">
        <v>21</v>
      </c>
      <c r="B78" s="35" t="s">
        <v>35</v>
      </c>
      <c r="C78" s="35" t="s">
        <v>36</v>
      </c>
      <c r="D78" s="35" t="s">
        <v>47</v>
      </c>
      <c r="E78" s="35" t="s">
        <v>48</v>
      </c>
      <c r="F78" s="35" t="s">
        <v>25</v>
      </c>
      <c r="G78" s="35" t="s">
        <v>25</v>
      </c>
      <c r="H78" s="35" t="s">
        <v>38</v>
      </c>
      <c r="I78" s="55">
        <v>44562</v>
      </c>
      <c r="J78" s="56">
        <f>EFEITO!$J$78*EFEITO!$Y$49</f>
        <v>0</v>
      </c>
      <c r="K78" s="56">
        <f ca="1">EFEITO!$L$78*EFEITO!$Z$49</f>
        <v>970.85926774539962</v>
      </c>
      <c r="L78" s="56">
        <f>EFEITO!$N$78*EFEITO!$AA$49</f>
        <v>1533.8777151960942</v>
      </c>
      <c r="M78" s="56">
        <f>$J$78-EFEITO!$K$78*EFEITO!$Y$78</f>
        <v>0</v>
      </c>
      <c r="N78" s="56">
        <f ca="1">$K$78-EFEITO!$M$78*EFEITO!$Z$78</f>
        <v>29.125778032362064</v>
      </c>
      <c r="O78" s="56">
        <f>$L$78-EFEITO!$O$78*EFEITO!$AA$78</f>
        <v>46.016331455882892</v>
      </c>
      <c r="P78" s="39"/>
      <c r="Q78" s="39"/>
      <c r="R78" s="39"/>
      <c r="S78" s="39"/>
      <c r="T78" s="39"/>
      <c r="U78" s="39"/>
      <c r="V78" s="39"/>
      <c r="W78" s="39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35" t="s">
        <v>21</v>
      </c>
      <c r="B79" s="35" t="s">
        <v>35</v>
      </c>
      <c r="C79" s="35" t="s">
        <v>36</v>
      </c>
      <c r="D79" s="35" t="s">
        <v>47</v>
      </c>
      <c r="E79" s="35" t="s">
        <v>48</v>
      </c>
      <c r="F79" s="35" t="s">
        <v>25</v>
      </c>
      <c r="G79" s="35" t="s">
        <v>25</v>
      </c>
      <c r="H79" s="35" t="s">
        <v>38</v>
      </c>
      <c r="I79" s="55">
        <v>44593</v>
      </c>
      <c r="J79" s="56">
        <f>EFEITO!$J$79*EFEITO!$Y$49</f>
        <v>0</v>
      </c>
      <c r="K79" s="56">
        <f ca="1">EFEITO!$L$79*EFEITO!$Z$49</f>
        <v>898.94376643092562</v>
      </c>
      <c r="L79" s="56">
        <f>EFEITO!$N$79*EFEITO!$AA$49</f>
        <v>1420.2571437000872</v>
      </c>
      <c r="M79" s="56">
        <f>$J$79-EFEITO!$K$79*EFEITO!$Y$79</f>
        <v>0</v>
      </c>
      <c r="N79" s="56">
        <f ca="1">$K$79-EFEITO!$M$79*EFEITO!$Z$79</f>
        <v>26.968312992927849</v>
      </c>
      <c r="O79" s="56">
        <f>$L$79-EFEITO!$O$79*EFEITO!$AA$79</f>
        <v>42.60771431100261</v>
      </c>
      <c r="P79" s="39"/>
      <c r="Q79" s="39"/>
      <c r="R79" s="39"/>
      <c r="S79" s="39"/>
      <c r="T79" s="39"/>
      <c r="U79" s="39"/>
      <c r="V79" s="39"/>
      <c r="W79" s="39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35" t="s">
        <v>21</v>
      </c>
      <c r="B80" s="35" t="s">
        <v>35</v>
      </c>
      <c r="C80" s="35" t="s">
        <v>36</v>
      </c>
      <c r="D80" s="35" t="s">
        <v>47</v>
      </c>
      <c r="E80" s="35" t="s">
        <v>48</v>
      </c>
      <c r="F80" s="35" t="s">
        <v>25</v>
      </c>
      <c r="G80" s="35" t="s">
        <v>25</v>
      </c>
      <c r="H80" s="35" t="s">
        <v>38</v>
      </c>
      <c r="I80" s="55">
        <v>44621</v>
      </c>
      <c r="J80" s="56">
        <f>EFEITO!$J$80*EFEITO!$Y$49</f>
        <v>0</v>
      </c>
      <c r="K80" s="56">
        <f ca="1">EFEITO!$L$80*EFEITO!$Z$49</f>
        <v>914.92498894525318</v>
      </c>
      <c r="L80" s="56">
        <f>EFEITO!$N$80*EFEITO!$AA$49</f>
        <v>1445.5061595880886</v>
      </c>
      <c r="M80" s="56">
        <f>$J$80-EFEITO!$K$80*EFEITO!$Y$80</f>
        <v>0</v>
      </c>
      <c r="N80" s="56">
        <f ca="1">$K$80-EFEITO!$M$80*EFEITO!$Z$80</f>
        <v>27.447749668357687</v>
      </c>
      <c r="O80" s="56">
        <f>$L$80-EFEITO!$O$80*EFEITO!$AA$80</f>
        <v>43.36518478764242</v>
      </c>
      <c r="P80" s="39"/>
      <c r="Q80" s="39"/>
      <c r="R80" s="39"/>
      <c r="S80" s="39"/>
      <c r="T80" s="39"/>
      <c r="U80" s="39"/>
      <c r="V80" s="39"/>
      <c r="W80" s="39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35" t="s">
        <v>21</v>
      </c>
      <c r="B81" s="35" t="s">
        <v>35</v>
      </c>
      <c r="C81" s="35" t="s">
        <v>36</v>
      </c>
      <c r="D81" s="35" t="s">
        <v>47</v>
      </c>
      <c r="E81" s="35" t="s">
        <v>48</v>
      </c>
      <c r="F81" s="35" t="s">
        <v>25</v>
      </c>
      <c r="G81" s="35" t="s">
        <v>25</v>
      </c>
      <c r="H81" s="35" t="s">
        <v>38</v>
      </c>
      <c r="I81" s="55">
        <v>44652</v>
      </c>
      <c r="J81" s="56">
        <f>EFEITO!$J$81*EFEITO!$Y$49</f>
        <v>0</v>
      </c>
      <c r="K81" s="56">
        <f ca="1">EFEITO!$L$81*EFEITO!$Z$49</f>
        <v>819.03765385928773</v>
      </c>
      <c r="L81" s="56">
        <f>EFEITO!$N$81*EFEITO!$AA$49</f>
        <v>1294.0120642600793</v>
      </c>
      <c r="M81" s="56">
        <f>$J$81-EFEITO!$K$81*EFEITO!$Y$81</f>
        <v>0</v>
      </c>
      <c r="N81" s="56">
        <f ca="1">$K$81-EFEITO!$M$81*EFEITO!$Z$81</f>
        <v>24.571129615778659</v>
      </c>
      <c r="O81" s="56">
        <f>$L$81-EFEITO!$O$81*EFEITO!$AA$81</f>
        <v>38.820361927802196</v>
      </c>
      <c r="P81" s="39"/>
      <c r="Q81" s="39"/>
      <c r="R81" s="39"/>
      <c r="S81" s="39"/>
      <c r="T81" s="39"/>
      <c r="U81" s="39"/>
      <c r="V81" s="39"/>
      <c r="W81" s="39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35" t="s">
        <v>21</v>
      </c>
      <c r="B82" s="35" t="s">
        <v>35</v>
      </c>
      <c r="C82" s="35" t="s">
        <v>36</v>
      </c>
      <c r="D82" s="35" t="s">
        <v>47</v>
      </c>
      <c r="E82" s="35" t="s">
        <v>48</v>
      </c>
      <c r="F82" s="35" t="s">
        <v>25</v>
      </c>
      <c r="G82" s="35" t="s">
        <v>25</v>
      </c>
      <c r="H82" s="35" t="s">
        <v>38</v>
      </c>
      <c r="I82" s="55">
        <v>44682</v>
      </c>
      <c r="J82" s="56">
        <f>EFEITO!$J$82*EFEITO!$Y$49</f>
        <v>0</v>
      </c>
      <c r="K82" s="56">
        <f ca="1">EFEITO!$L$82*EFEITO!$Z$49</f>
        <v>783.07990320205067</v>
      </c>
      <c r="L82" s="56">
        <f>EFEITO!$N$82*EFEITO!$AA$49</f>
        <v>1237.2017785120759</v>
      </c>
      <c r="M82" s="56">
        <f>$J$82-EFEITO!$K$82*EFEITO!$Y$82</f>
        <v>0</v>
      </c>
      <c r="N82" s="56">
        <f ca="1">$K$82-EFEITO!$M$82*EFEITO!$Z$82</f>
        <v>23.492397096061495</v>
      </c>
      <c r="O82" s="56">
        <f>$L$82-EFEITO!$O$82*EFEITO!$AA$82</f>
        <v>37.116053355362055</v>
      </c>
      <c r="P82" s="39"/>
      <c r="Q82" s="39"/>
      <c r="R82" s="39"/>
      <c r="S82" s="39"/>
      <c r="T82" s="39"/>
      <c r="U82" s="39"/>
      <c r="V82" s="39"/>
      <c r="W82" s="39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35" t="s">
        <v>21</v>
      </c>
      <c r="B83" s="35" t="s">
        <v>35</v>
      </c>
      <c r="C83" s="35" t="s">
        <v>36</v>
      </c>
      <c r="D83" s="35" t="s">
        <v>47</v>
      </c>
      <c r="E83" s="35" t="s">
        <v>48</v>
      </c>
      <c r="F83" s="35" t="s">
        <v>25</v>
      </c>
      <c r="G83" s="35" t="s">
        <v>25</v>
      </c>
      <c r="H83" s="35" t="s">
        <v>38</v>
      </c>
      <c r="I83" s="55">
        <v>44713</v>
      </c>
      <c r="J83" s="56">
        <f>EFEITO!$J$83*EFEITO!$Y$49</f>
        <v>0</v>
      </c>
      <c r="K83" s="56">
        <f ca="1">EFEITO!$L$83*EFEITO!$Z$49</f>
        <v>910.92968331667134</v>
      </c>
      <c r="L83" s="56">
        <f>EFEITO!$N$83*EFEITO!$AA$49</f>
        <v>1439.1939056160886</v>
      </c>
      <c r="M83" s="56">
        <f>$J$83-EFEITO!$K$83*EFEITO!$Y$83</f>
        <v>0</v>
      </c>
      <c r="N83" s="56">
        <f ca="1">$K$83-EFEITO!$M$83*EFEITO!$Z$83</f>
        <v>27.327890499500086</v>
      </c>
      <c r="O83" s="56">
        <f>$L$83-EFEITO!$O$83*EFEITO!$AA$83</f>
        <v>43.175817168482581</v>
      </c>
      <c r="P83" s="39"/>
      <c r="Q83" s="39"/>
      <c r="R83" s="39"/>
      <c r="S83" s="39"/>
      <c r="T83" s="39"/>
      <c r="U83" s="39"/>
      <c r="V83" s="39"/>
      <c r="W83" s="39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35" t="s">
        <v>21</v>
      </c>
      <c r="B84" s="35" t="s">
        <v>35</v>
      </c>
      <c r="C84" s="35" t="s">
        <v>36</v>
      </c>
      <c r="D84" s="35" t="s">
        <v>47</v>
      </c>
      <c r="E84" s="35" t="s">
        <v>48</v>
      </c>
      <c r="F84" s="35" t="s">
        <v>25</v>
      </c>
      <c r="G84" s="35" t="s">
        <v>25</v>
      </c>
      <c r="H84" s="35" t="s">
        <v>38</v>
      </c>
      <c r="I84" s="55">
        <v>44743</v>
      </c>
      <c r="J84" s="56">
        <f>EFEITO!$J$84*EFEITO!$Y$49</f>
        <v>0</v>
      </c>
      <c r="K84" s="56">
        <f ca="1">EFEITO!$L$84*EFEITO!$Z$49</f>
        <v>878.96723828801612</v>
      </c>
      <c r="L84" s="56">
        <f>EFEITO!$N$84*EFEITO!$AA$49</f>
        <v>1388.6958738400854</v>
      </c>
      <c r="M84" s="56">
        <f>$J$84-EFEITO!$K$84*EFEITO!$Y$84</f>
        <v>0</v>
      </c>
      <c r="N84" s="56">
        <f ca="1">$K$84-EFEITO!$M$84*EFEITO!$Z$84</f>
        <v>26.369017148640523</v>
      </c>
      <c r="O84" s="56">
        <f>$L$84-EFEITO!$O$84*EFEITO!$AA$84</f>
        <v>41.660876215202507</v>
      </c>
      <c r="P84" s="39"/>
      <c r="Q84" s="39"/>
      <c r="R84" s="39"/>
      <c r="S84" s="39"/>
      <c r="T84" s="39"/>
      <c r="U84" s="39"/>
      <c r="V84" s="39"/>
      <c r="W84" s="39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35" t="s">
        <v>21</v>
      </c>
      <c r="B85" s="35" t="s">
        <v>35</v>
      </c>
      <c r="C85" s="35" t="s">
        <v>36</v>
      </c>
      <c r="D85" s="35" t="s">
        <v>47</v>
      </c>
      <c r="E85" s="35" t="s">
        <v>48</v>
      </c>
      <c r="F85" s="35" t="s">
        <v>25</v>
      </c>
      <c r="G85" s="35" t="s">
        <v>25</v>
      </c>
      <c r="H85" s="35" t="s">
        <v>38</v>
      </c>
      <c r="I85" s="55">
        <v>44774</v>
      </c>
      <c r="J85" s="56">
        <f>EFEITO!$J$85*EFEITO!$Y$49</f>
        <v>0</v>
      </c>
      <c r="K85" s="56">
        <f ca="1">EFEITO!$L$85*EFEITO!$Z$49</f>
        <v>862.98601577368856</v>
      </c>
      <c r="L85" s="56">
        <f>EFEITO!$N$85*EFEITO!$AA$49</f>
        <v>1363.4468579520837</v>
      </c>
      <c r="M85" s="56">
        <f>$J$85-EFEITO!$K$85*EFEITO!$Y$85</f>
        <v>0</v>
      </c>
      <c r="N85" s="56">
        <f ca="1">$K$85-EFEITO!$M$85*EFEITO!$Z$85</f>
        <v>25.889580473210685</v>
      </c>
      <c r="O85" s="56">
        <f>$L$85-EFEITO!$O$85*EFEITO!$AA$85</f>
        <v>40.903405738562469</v>
      </c>
      <c r="P85" s="39"/>
      <c r="Q85" s="39"/>
      <c r="R85" s="39"/>
      <c r="S85" s="39"/>
      <c r="T85" s="39"/>
      <c r="U85" s="39"/>
      <c r="V85" s="39"/>
      <c r="W85" s="39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35" t="s">
        <v>21</v>
      </c>
      <c r="B86" s="35" t="s">
        <v>35</v>
      </c>
      <c r="C86" s="35" t="s">
        <v>36</v>
      </c>
      <c r="D86" s="35" t="s">
        <v>47</v>
      </c>
      <c r="E86" s="35" t="s">
        <v>48</v>
      </c>
      <c r="F86" s="35" t="s">
        <v>25</v>
      </c>
      <c r="G86" s="35" t="s">
        <v>25</v>
      </c>
      <c r="H86" s="35" t="s">
        <v>25</v>
      </c>
      <c r="I86" s="55">
        <v>44440</v>
      </c>
      <c r="J86" s="56">
        <f ca="1">EFEITO!$J$86*EFEITO!$Y$61</f>
        <v>1892.2660795322813</v>
      </c>
      <c r="K86" s="56">
        <f>EFEITO!$L$86*EFEITO!$Z$61</f>
        <v>0</v>
      </c>
      <c r="L86" s="56">
        <f>EFEITO!$N$86*EFEITO!$AA$61</f>
        <v>0</v>
      </c>
      <c r="M86" s="56">
        <f ca="1">$J$86-EFEITO!$K$86*EFEITO!$Y$86</f>
        <v>56.76798238596848</v>
      </c>
      <c r="N86" s="56">
        <f>$K$86-EFEITO!$M$86*EFEITO!$Z$86</f>
        <v>0</v>
      </c>
      <c r="O86" s="56">
        <f>$L$86-EFEITO!$O$86*EFEITO!$AA$86</f>
        <v>0</v>
      </c>
      <c r="P86" s="39"/>
      <c r="Q86" s="39"/>
      <c r="R86" s="39"/>
      <c r="S86" s="39"/>
      <c r="T86" s="39"/>
      <c r="U86" s="39"/>
      <c r="V86" s="39"/>
      <c r="W86" s="39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35" t="s">
        <v>21</v>
      </c>
      <c r="B87" s="35" t="s">
        <v>35</v>
      </c>
      <c r="C87" s="35" t="s">
        <v>36</v>
      </c>
      <c r="D87" s="35" t="s">
        <v>47</v>
      </c>
      <c r="E87" s="35" t="s">
        <v>48</v>
      </c>
      <c r="F87" s="35" t="s">
        <v>25</v>
      </c>
      <c r="G87" s="35" t="s">
        <v>25</v>
      </c>
      <c r="H87" s="35" t="s">
        <v>25</v>
      </c>
      <c r="I87" s="55">
        <v>44470</v>
      </c>
      <c r="J87" s="56">
        <f ca="1">EFEITO!$J$87*EFEITO!$Y$61</f>
        <v>1892.2660795322813</v>
      </c>
      <c r="K87" s="56">
        <f>EFEITO!$L$87*EFEITO!$Z$61</f>
        <v>0</v>
      </c>
      <c r="L87" s="56">
        <f>EFEITO!$N$87*EFEITO!$AA$61</f>
        <v>0</v>
      </c>
      <c r="M87" s="56">
        <f ca="1">$J$87-EFEITO!$K$87*EFEITO!$Y$87</f>
        <v>56.76798238596848</v>
      </c>
      <c r="N87" s="56">
        <f>$K$87-EFEITO!$M$87*EFEITO!$Z$87</f>
        <v>0</v>
      </c>
      <c r="O87" s="56">
        <f>$L$87-EFEITO!$O$87*EFEITO!$AA$87</f>
        <v>0</v>
      </c>
      <c r="P87" s="39"/>
      <c r="Q87" s="39"/>
      <c r="R87" s="39"/>
      <c r="S87" s="39"/>
      <c r="T87" s="39"/>
      <c r="U87" s="39"/>
      <c r="V87" s="39"/>
      <c r="W87" s="39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35" t="s">
        <v>21</v>
      </c>
      <c r="B88" s="35" t="s">
        <v>35</v>
      </c>
      <c r="C88" s="35" t="s">
        <v>36</v>
      </c>
      <c r="D88" s="35" t="s">
        <v>47</v>
      </c>
      <c r="E88" s="35" t="s">
        <v>48</v>
      </c>
      <c r="F88" s="35" t="s">
        <v>25</v>
      </c>
      <c r="G88" s="35" t="s">
        <v>25</v>
      </c>
      <c r="H88" s="35" t="s">
        <v>25</v>
      </c>
      <c r="I88" s="55">
        <v>44501</v>
      </c>
      <c r="J88" s="56">
        <f ca="1">EFEITO!$J$88*EFEITO!$Y$61</f>
        <v>1892.2660795322813</v>
      </c>
      <c r="K88" s="56">
        <f>EFEITO!$L$88*EFEITO!$Z$61</f>
        <v>0</v>
      </c>
      <c r="L88" s="56">
        <f>EFEITO!$N$88*EFEITO!$AA$61</f>
        <v>0</v>
      </c>
      <c r="M88" s="56">
        <f ca="1">$J$88-EFEITO!$K$88*EFEITO!$Y$88</f>
        <v>56.76798238596848</v>
      </c>
      <c r="N88" s="56">
        <f>$K$88-EFEITO!$M$88*EFEITO!$Z$88</f>
        <v>0</v>
      </c>
      <c r="O88" s="56">
        <f>$L$88-EFEITO!$O$88*EFEITO!$AA$88</f>
        <v>0</v>
      </c>
      <c r="P88" s="39"/>
      <c r="Q88" s="39"/>
      <c r="R88" s="39"/>
      <c r="S88" s="39"/>
      <c r="T88" s="39"/>
      <c r="U88" s="39"/>
      <c r="V88" s="39"/>
      <c r="W88" s="39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35" t="s">
        <v>21</v>
      </c>
      <c r="B89" s="35" t="s">
        <v>35</v>
      </c>
      <c r="C89" s="35" t="s">
        <v>36</v>
      </c>
      <c r="D89" s="35" t="s">
        <v>47</v>
      </c>
      <c r="E89" s="35" t="s">
        <v>48</v>
      </c>
      <c r="F89" s="35" t="s">
        <v>25</v>
      </c>
      <c r="G89" s="35" t="s">
        <v>25</v>
      </c>
      <c r="H89" s="35" t="s">
        <v>25</v>
      </c>
      <c r="I89" s="55">
        <v>44531</v>
      </c>
      <c r="J89" s="56">
        <f ca="1">EFEITO!$J$89*EFEITO!$Y$61</f>
        <v>1892.2660795322813</v>
      </c>
      <c r="K89" s="56">
        <f>EFEITO!$L$89*EFEITO!$Z$61</f>
        <v>0</v>
      </c>
      <c r="L89" s="56">
        <f>EFEITO!$N$89*EFEITO!$AA$61</f>
        <v>0</v>
      </c>
      <c r="M89" s="56">
        <f ca="1">$J$89-EFEITO!$K$89*EFEITO!$Y$89</f>
        <v>56.76798238596848</v>
      </c>
      <c r="N89" s="56">
        <f>$K$89-EFEITO!$M$89*EFEITO!$Z$89</f>
        <v>0</v>
      </c>
      <c r="O89" s="56">
        <f>$L$89-EFEITO!$O$89*EFEITO!$AA$89</f>
        <v>0</v>
      </c>
      <c r="P89" s="39"/>
      <c r="Q89" s="39"/>
      <c r="R89" s="39"/>
      <c r="S89" s="39"/>
      <c r="T89" s="39"/>
      <c r="U89" s="39"/>
      <c r="V89" s="39"/>
      <c r="W89" s="39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35" t="s">
        <v>21</v>
      </c>
      <c r="B90" s="35" t="s">
        <v>35</v>
      </c>
      <c r="C90" s="35" t="s">
        <v>36</v>
      </c>
      <c r="D90" s="35" t="s">
        <v>47</v>
      </c>
      <c r="E90" s="35" t="s">
        <v>48</v>
      </c>
      <c r="F90" s="35" t="s">
        <v>25</v>
      </c>
      <c r="G90" s="35" t="s">
        <v>25</v>
      </c>
      <c r="H90" s="35" t="s">
        <v>25</v>
      </c>
      <c r="I90" s="55">
        <v>44562</v>
      </c>
      <c r="J90" s="56">
        <f ca="1">EFEITO!$J$90*EFEITO!$Y$61</f>
        <v>1892.2660795322813</v>
      </c>
      <c r="K90" s="56">
        <f>EFEITO!$L$90*EFEITO!$Z$61</f>
        <v>0</v>
      </c>
      <c r="L90" s="56">
        <f>EFEITO!$N$90*EFEITO!$AA$61</f>
        <v>0</v>
      </c>
      <c r="M90" s="56">
        <f ca="1">$J$90-EFEITO!$K$90*EFEITO!$Y$90</f>
        <v>56.76798238596848</v>
      </c>
      <c r="N90" s="56">
        <f>$K$90-EFEITO!$M$90*EFEITO!$Z$90</f>
        <v>0</v>
      </c>
      <c r="O90" s="56">
        <f>$L$90-EFEITO!$O$90*EFEITO!$AA$90</f>
        <v>0</v>
      </c>
      <c r="P90" s="39"/>
      <c r="Q90" s="39"/>
      <c r="R90" s="39"/>
      <c r="S90" s="39"/>
      <c r="T90" s="39"/>
      <c r="U90" s="39"/>
      <c r="V90" s="39"/>
      <c r="W90" s="39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35" t="s">
        <v>21</v>
      </c>
      <c r="B91" s="35" t="s">
        <v>35</v>
      </c>
      <c r="C91" s="35" t="s">
        <v>36</v>
      </c>
      <c r="D91" s="35" t="s">
        <v>47</v>
      </c>
      <c r="E91" s="35" t="s">
        <v>48</v>
      </c>
      <c r="F91" s="35" t="s">
        <v>25</v>
      </c>
      <c r="G91" s="35" t="s">
        <v>25</v>
      </c>
      <c r="H91" s="35" t="s">
        <v>25</v>
      </c>
      <c r="I91" s="55">
        <v>44593</v>
      </c>
      <c r="J91" s="56">
        <f ca="1">EFEITO!$J$91*EFEITO!$Y$61</f>
        <v>1892.2660795322813</v>
      </c>
      <c r="K91" s="56">
        <f>EFEITO!$L$91*EFEITO!$Z$61</f>
        <v>0</v>
      </c>
      <c r="L91" s="56">
        <f>EFEITO!$N$91*EFEITO!$AA$61</f>
        <v>0</v>
      </c>
      <c r="M91" s="56">
        <f ca="1">$J$91-EFEITO!$K$91*EFEITO!$Y$91</f>
        <v>56.76798238596848</v>
      </c>
      <c r="N91" s="56">
        <f>$K$91-EFEITO!$M$91*EFEITO!$Z$91</f>
        <v>0</v>
      </c>
      <c r="O91" s="56">
        <f>$L$91-EFEITO!$O$91*EFEITO!$AA$91</f>
        <v>0</v>
      </c>
      <c r="P91" s="39"/>
      <c r="Q91" s="39"/>
      <c r="R91" s="39"/>
      <c r="S91" s="39"/>
      <c r="T91" s="39"/>
      <c r="U91" s="39"/>
      <c r="V91" s="39"/>
      <c r="W91" s="39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35" t="s">
        <v>21</v>
      </c>
      <c r="B92" s="35" t="s">
        <v>35</v>
      </c>
      <c r="C92" s="35" t="s">
        <v>36</v>
      </c>
      <c r="D92" s="35" t="s">
        <v>47</v>
      </c>
      <c r="E92" s="35" t="s">
        <v>48</v>
      </c>
      <c r="F92" s="35" t="s">
        <v>25</v>
      </c>
      <c r="G92" s="35" t="s">
        <v>25</v>
      </c>
      <c r="H92" s="35" t="s">
        <v>25</v>
      </c>
      <c r="I92" s="55">
        <v>44621</v>
      </c>
      <c r="J92" s="56">
        <f ca="1">EFEITO!$J$92*EFEITO!$Y$61</f>
        <v>1892.2660795322813</v>
      </c>
      <c r="K92" s="56">
        <f>EFEITO!$L$92*EFEITO!$Z$61</f>
        <v>0</v>
      </c>
      <c r="L92" s="56">
        <f>EFEITO!$N$92*EFEITO!$AA$61</f>
        <v>0</v>
      </c>
      <c r="M92" s="56">
        <f ca="1">$J$92-EFEITO!$K$92*EFEITO!$Y$92</f>
        <v>56.76798238596848</v>
      </c>
      <c r="N92" s="56">
        <f>$K$92-EFEITO!$M$92*EFEITO!$Z$92</f>
        <v>0</v>
      </c>
      <c r="O92" s="56">
        <f>$L$92-EFEITO!$O$92*EFEITO!$AA$92</f>
        <v>0</v>
      </c>
      <c r="P92" s="39"/>
      <c r="Q92" s="39"/>
      <c r="R92" s="39"/>
      <c r="S92" s="39"/>
      <c r="T92" s="39"/>
      <c r="U92" s="39"/>
      <c r="V92" s="39"/>
      <c r="W92" s="39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35" t="s">
        <v>21</v>
      </c>
      <c r="B93" s="35" t="s">
        <v>35</v>
      </c>
      <c r="C93" s="35" t="s">
        <v>36</v>
      </c>
      <c r="D93" s="35" t="s">
        <v>47</v>
      </c>
      <c r="E93" s="35" t="s">
        <v>48</v>
      </c>
      <c r="F93" s="35" t="s">
        <v>25</v>
      </c>
      <c r="G93" s="35" t="s">
        <v>25</v>
      </c>
      <c r="H93" s="35" t="s">
        <v>25</v>
      </c>
      <c r="I93" s="55">
        <v>44652</v>
      </c>
      <c r="J93" s="56">
        <f ca="1">EFEITO!$J$93*EFEITO!$Y$61</f>
        <v>1892.2660795322813</v>
      </c>
      <c r="K93" s="56">
        <f>EFEITO!$L$93*EFEITO!$Z$61</f>
        <v>0</v>
      </c>
      <c r="L93" s="56">
        <f>EFEITO!$N$93*EFEITO!$AA$61</f>
        <v>0</v>
      </c>
      <c r="M93" s="56">
        <f ca="1">$J$93-EFEITO!$K$93*EFEITO!$Y$93</f>
        <v>56.76798238596848</v>
      </c>
      <c r="N93" s="56">
        <f>$K$93-EFEITO!$M$93*EFEITO!$Z$93</f>
        <v>0</v>
      </c>
      <c r="O93" s="56">
        <f>$L$93-EFEITO!$O$93*EFEITO!$AA$93</f>
        <v>0</v>
      </c>
      <c r="P93" s="39"/>
      <c r="Q93" s="39"/>
      <c r="R93" s="39"/>
      <c r="S93" s="39"/>
      <c r="T93" s="39"/>
      <c r="U93" s="39"/>
      <c r="V93" s="39"/>
      <c r="W93" s="39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35" t="s">
        <v>21</v>
      </c>
      <c r="B94" s="35" t="s">
        <v>35</v>
      </c>
      <c r="C94" s="35" t="s">
        <v>36</v>
      </c>
      <c r="D94" s="35" t="s">
        <v>47</v>
      </c>
      <c r="E94" s="35" t="s">
        <v>48</v>
      </c>
      <c r="F94" s="35" t="s">
        <v>25</v>
      </c>
      <c r="G94" s="35" t="s">
        <v>25</v>
      </c>
      <c r="H94" s="35" t="s">
        <v>25</v>
      </c>
      <c r="I94" s="55">
        <v>44682</v>
      </c>
      <c r="J94" s="56">
        <f ca="1">EFEITO!$J$94*EFEITO!$Y$61</f>
        <v>1892.2660795322813</v>
      </c>
      <c r="K94" s="56">
        <f>EFEITO!$L$94*EFEITO!$Z$61</f>
        <v>0</v>
      </c>
      <c r="L94" s="56">
        <f>EFEITO!$N$94*EFEITO!$AA$61</f>
        <v>0</v>
      </c>
      <c r="M94" s="56">
        <f ca="1">$J$94-EFEITO!$K$94*EFEITO!$Y$94</f>
        <v>56.76798238596848</v>
      </c>
      <c r="N94" s="56">
        <f>$K$94-EFEITO!$M$94*EFEITO!$Z$94</f>
        <v>0</v>
      </c>
      <c r="O94" s="56">
        <f>$L$94-EFEITO!$O$94*EFEITO!$AA$94</f>
        <v>0</v>
      </c>
      <c r="P94" s="39"/>
      <c r="Q94" s="39"/>
      <c r="R94" s="39"/>
      <c r="S94" s="39"/>
      <c r="T94" s="39"/>
      <c r="U94" s="39"/>
      <c r="V94" s="39"/>
      <c r="W94" s="39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35" t="s">
        <v>21</v>
      </c>
      <c r="B95" s="35" t="s">
        <v>35</v>
      </c>
      <c r="C95" s="35" t="s">
        <v>36</v>
      </c>
      <c r="D95" s="35" t="s">
        <v>47</v>
      </c>
      <c r="E95" s="35" t="s">
        <v>48</v>
      </c>
      <c r="F95" s="35" t="s">
        <v>25</v>
      </c>
      <c r="G95" s="35" t="s">
        <v>25</v>
      </c>
      <c r="H95" s="35" t="s">
        <v>25</v>
      </c>
      <c r="I95" s="55">
        <v>44713</v>
      </c>
      <c r="J95" s="56">
        <f ca="1">EFEITO!$J$95*EFEITO!$Y$61</f>
        <v>1892.2660795322813</v>
      </c>
      <c r="K95" s="56">
        <f>EFEITO!$L$95*EFEITO!$Z$61</f>
        <v>0</v>
      </c>
      <c r="L95" s="56">
        <f>EFEITO!$N$95*EFEITO!$AA$61</f>
        <v>0</v>
      </c>
      <c r="M95" s="56">
        <f ca="1">$J$95-EFEITO!$K$95*EFEITO!$Y$95</f>
        <v>56.76798238596848</v>
      </c>
      <c r="N95" s="56">
        <f>$K$95-EFEITO!$M$95*EFEITO!$Z$95</f>
        <v>0</v>
      </c>
      <c r="O95" s="56">
        <f>$L$95-EFEITO!$O$95*EFEITO!$AA$95</f>
        <v>0</v>
      </c>
      <c r="P95" s="39"/>
      <c r="Q95" s="39"/>
      <c r="R95" s="39"/>
      <c r="S95" s="39"/>
      <c r="T95" s="39"/>
      <c r="U95" s="39"/>
      <c r="V95" s="39"/>
      <c r="W95" s="39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35" t="s">
        <v>21</v>
      </c>
      <c r="B96" s="35" t="s">
        <v>35</v>
      </c>
      <c r="C96" s="35" t="s">
        <v>36</v>
      </c>
      <c r="D96" s="35" t="s">
        <v>47</v>
      </c>
      <c r="E96" s="35" t="s">
        <v>48</v>
      </c>
      <c r="F96" s="35" t="s">
        <v>25</v>
      </c>
      <c r="G96" s="35" t="s">
        <v>25</v>
      </c>
      <c r="H96" s="35" t="s">
        <v>25</v>
      </c>
      <c r="I96" s="55">
        <v>44743</v>
      </c>
      <c r="J96" s="56">
        <f ca="1">EFEITO!$J$96*EFEITO!$Y$61</f>
        <v>1892.2660795322813</v>
      </c>
      <c r="K96" s="56">
        <f>EFEITO!$L$96*EFEITO!$Z$61</f>
        <v>0</v>
      </c>
      <c r="L96" s="56">
        <f>EFEITO!$N$96*EFEITO!$AA$61</f>
        <v>0</v>
      </c>
      <c r="M96" s="56">
        <f ca="1">$J$96-EFEITO!$K$96*EFEITO!$Y$96</f>
        <v>56.76798238596848</v>
      </c>
      <c r="N96" s="56">
        <f>$K$96-EFEITO!$M$96*EFEITO!$Z$96</f>
        <v>0</v>
      </c>
      <c r="O96" s="56">
        <f>$L$96-EFEITO!$O$96*EFEITO!$AA$96</f>
        <v>0</v>
      </c>
      <c r="P96" s="39"/>
      <c r="Q96" s="39"/>
      <c r="R96" s="39"/>
      <c r="S96" s="39"/>
      <c r="T96" s="39"/>
      <c r="U96" s="39"/>
      <c r="V96" s="39"/>
      <c r="W96" s="39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35" t="s">
        <v>21</v>
      </c>
      <c r="B97" s="35" t="s">
        <v>35</v>
      </c>
      <c r="C97" s="35" t="s">
        <v>36</v>
      </c>
      <c r="D97" s="35" t="s">
        <v>47</v>
      </c>
      <c r="E97" s="35" t="s">
        <v>48</v>
      </c>
      <c r="F97" s="35" t="s">
        <v>25</v>
      </c>
      <c r="G97" s="35" t="s">
        <v>25</v>
      </c>
      <c r="H97" s="35" t="s">
        <v>25</v>
      </c>
      <c r="I97" s="55">
        <v>44774</v>
      </c>
      <c r="J97" s="56">
        <f ca="1">EFEITO!$J$97*EFEITO!$Y$61</f>
        <v>1892.2660795322813</v>
      </c>
      <c r="K97" s="56">
        <f>EFEITO!$L$97*EFEITO!$Z$61</f>
        <v>0</v>
      </c>
      <c r="L97" s="56">
        <f>EFEITO!$N$97*EFEITO!$AA$61</f>
        <v>0</v>
      </c>
      <c r="M97" s="56">
        <f ca="1">$J$97-EFEITO!$K$97*EFEITO!$Y$97</f>
        <v>56.76798238596848</v>
      </c>
      <c r="N97" s="56">
        <f>$K$97-EFEITO!$M$97*EFEITO!$Z$97</f>
        <v>0</v>
      </c>
      <c r="O97" s="56">
        <f>$L$97-EFEITO!$O$97*EFEITO!$AA$97</f>
        <v>0</v>
      </c>
      <c r="P97" s="39"/>
      <c r="Q97" s="39"/>
      <c r="R97" s="39"/>
      <c r="S97" s="39"/>
      <c r="T97" s="39"/>
      <c r="U97" s="39"/>
      <c r="V97" s="39"/>
      <c r="W97" s="39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35" t="s">
        <v>21</v>
      </c>
      <c r="B98" s="35" t="s">
        <v>35</v>
      </c>
      <c r="C98" s="35" t="s">
        <v>36</v>
      </c>
      <c r="D98" s="35" t="s">
        <v>47</v>
      </c>
      <c r="E98" s="35" t="s">
        <v>48</v>
      </c>
      <c r="F98" s="35" t="s">
        <v>25</v>
      </c>
      <c r="G98" s="35" t="s">
        <v>25</v>
      </c>
      <c r="H98" s="35" t="s">
        <v>37</v>
      </c>
      <c r="I98" s="55">
        <v>44440</v>
      </c>
      <c r="J98" s="56">
        <f>EFEITO!$J$98*EFEITO!$Y$73</f>
        <v>0</v>
      </c>
      <c r="K98" s="56">
        <f ca="1">EFEITO!$L$98*EFEITO!$Z$73</f>
        <v>2504.5644575506117</v>
      </c>
      <c r="L98" s="56">
        <f>EFEITO!$N$98*EFEITO!$AA$73</f>
        <v>145.1818413560089</v>
      </c>
      <c r="M98" s="56">
        <f>$J$98-EFEITO!$K$98*EFEITO!$Y$98</f>
        <v>0</v>
      </c>
      <c r="N98" s="56">
        <f ca="1">$K$98-EFEITO!$M$98*EFEITO!$Z$98</f>
        <v>75.136933726518691</v>
      </c>
      <c r="O98" s="56">
        <f>$L$98-EFEITO!$O$98*EFEITO!$AA$98</f>
        <v>4.3554552406802429</v>
      </c>
      <c r="P98" s="39"/>
      <c r="Q98" s="39"/>
      <c r="R98" s="39"/>
      <c r="S98" s="39"/>
      <c r="T98" s="39"/>
      <c r="U98" s="39"/>
      <c r="V98" s="39"/>
      <c r="W98" s="39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35" t="s">
        <v>21</v>
      </c>
      <c r="B99" s="35" t="s">
        <v>35</v>
      </c>
      <c r="C99" s="35" t="s">
        <v>36</v>
      </c>
      <c r="D99" s="35" t="s">
        <v>47</v>
      </c>
      <c r="E99" s="35" t="s">
        <v>48</v>
      </c>
      <c r="F99" s="35" t="s">
        <v>25</v>
      </c>
      <c r="G99" s="35" t="s">
        <v>25</v>
      </c>
      <c r="H99" s="35" t="s">
        <v>37</v>
      </c>
      <c r="I99" s="55">
        <v>44470</v>
      </c>
      <c r="J99" s="56">
        <f>EFEITO!$J$99*EFEITO!$Y$73</f>
        <v>0</v>
      </c>
      <c r="K99" s="56">
        <f ca="1">EFEITO!$L$99*EFEITO!$Z$73</f>
        <v>2831.2467781006917</v>
      </c>
      <c r="L99" s="56">
        <f>EFEITO!$N$99*EFEITO!$AA$73</f>
        <v>164.11860327201009</v>
      </c>
      <c r="M99" s="56">
        <f>$J$99-EFEITO!$K$99*EFEITO!$Y$99</f>
        <v>0</v>
      </c>
      <c r="N99" s="56">
        <f ca="1">$K$99-EFEITO!$M$99*EFEITO!$Z$99</f>
        <v>84.937403343021288</v>
      </c>
      <c r="O99" s="56">
        <f>$L$99-EFEITO!$O$99*EFEITO!$AA$99</f>
        <v>4.9235580981602993</v>
      </c>
      <c r="P99" s="39"/>
      <c r="Q99" s="39"/>
      <c r="R99" s="39"/>
      <c r="S99" s="39"/>
      <c r="T99" s="39"/>
      <c r="U99" s="39"/>
      <c r="V99" s="39"/>
      <c r="W99" s="39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35" t="s">
        <v>21</v>
      </c>
      <c r="B100" s="35" t="s">
        <v>35</v>
      </c>
      <c r="C100" s="35" t="s">
        <v>36</v>
      </c>
      <c r="D100" s="35" t="s">
        <v>47</v>
      </c>
      <c r="E100" s="35" t="s">
        <v>48</v>
      </c>
      <c r="F100" s="35" t="s">
        <v>25</v>
      </c>
      <c r="G100" s="35" t="s">
        <v>25</v>
      </c>
      <c r="H100" s="35" t="s">
        <v>37</v>
      </c>
      <c r="I100" s="55">
        <v>44501</v>
      </c>
      <c r="J100" s="56">
        <f>EFEITO!$J$100*EFEITO!$Y$73</f>
        <v>0</v>
      </c>
      <c r="K100" s="56">
        <f ca="1">EFEITO!$L$100*EFEITO!$Z$73</f>
        <v>3049.0349918007441</v>
      </c>
      <c r="L100" s="56">
        <f>EFEITO!$N$100*EFEITO!$AA$73</f>
        <v>176.74311121601085</v>
      </c>
      <c r="M100" s="56">
        <f>$J$100-EFEITO!$K$100*EFEITO!$Y$100</f>
        <v>0</v>
      </c>
      <c r="N100" s="56">
        <f ca="1">$K$100-EFEITO!$M$100*EFEITO!$Z$100</f>
        <v>91.47104975402226</v>
      </c>
      <c r="O100" s="56">
        <f>$L$100-EFEITO!$O$100*EFEITO!$AA$100</f>
        <v>5.302293336480318</v>
      </c>
      <c r="P100" s="39"/>
      <c r="Q100" s="39"/>
      <c r="R100" s="39"/>
      <c r="S100" s="39"/>
      <c r="T100" s="39"/>
      <c r="U100" s="39"/>
      <c r="V100" s="39"/>
      <c r="W100" s="39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35" t="s">
        <v>21</v>
      </c>
      <c r="B101" s="35" t="s">
        <v>35</v>
      </c>
      <c r="C101" s="35" t="s">
        <v>36</v>
      </c>
      <c r="D101" s="35" t="s">
        <v>47</v>
      </c>
      <c r="E101" s="35" t="s">
        <v>48</v>
      </c>
      <c r="F101" s="35" t="s">
        <v>25</v>
      </c>
      <c r="G101" s="35" t="s">
        <v>25</v>
      </c>
      <c r="H101" s="35" t="s">
        <v>37</v>
      </c>
      <c r="I101" s="55">
        <v>44531</v>
      </c>
      <c r="J101" s="56">
        <f>EFEITO!$J$101*EFEITO!$Y$73</f>
        <v>0</v>
      </c>
      <c r="K101" s="56">
        <f ca="1">EFEITO!$L$101*EFEITO!$Z$73</f>
        <v>2940.1408849507179</v>
      </c>
      <c r="L101" s="56">
        <f>EFEITO!$N$101*EFEITO!$AA$73</f>
        <v>170.43085724401047</v>
      </c>
      <c r="M101" s="56">
        <f>$J$101-EFEITO!$K$101*EFEITO!$Y$101</f>
        <v>0</v>
      </c>
      <c r="N101" s="56">
        <f ca="1">$K$101-EFEITO!$M$101*EFEITO!$Z$101</f>
        <v>88.204226548522001</v>
      </c>
      <c r="O101" s="56">
        <f>$L$101-EFEITO!$O$101*EFEITO!$AA$101</f>
        <v>5.1129257173203086</v>
      </c>
      <c r="P101" s="39"/>
      <c r="Q101" s="39"/>
      <c r="R101" s="39"/>
      <c r="S101" s="39"/>
      <c r="T101" s="39"/>
      <c r="U101" s="39"/>
      <c r="V101" s="39"/>
      <c r="W101" s="39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35" t="s">
        <v>21</v>
      </c>
      <c r="B102" s="35" t="s">
        <v>35</v>
      </c>
      <c r="C102" s="35" t="s">
        <v>36</v>
      </c>
      <c r="D102" s="35" t="s">
        <v>47</v>
      </c>
      <c r="E102" s="35" t="s">
        <v>48</v>
      </c>
      <c r="F102" s="35" t="s">
        <v>25</v>
      </c>
      <c r="G102" s="35" t="s">
        <v>25</v>
      </c>
      <c r="H102" s="35" t="s">
        <v>37</v>
      </c>
      <c r="I102" s="55">
        <v>44562</v>
      </c>
      <c r="J102" s="56">
        <f>EFEITO!$J$102*EFEITO!$Y$73</f>
        <v>0</v>
      </c>
      <c r="K102" s="56">
        <f ca="1">EFEITO!$L$102*EFEITO!$Z$73</f>
        <v>2940.1408849507179</v>
      </c>
      <c r="L102" s="56">
        <f>EFEITO!$N$102*EFEITO!$AA$73</f>
        <v>170.43085724401047</v>
      </c>
      <c r="M102" s="56">
        <f>$J$102-EFEITO!$K$102*EFEITO!$Y$102</f>
        <v>0</v>
      </c>
      <c r="N102" s="56">
        <f ca="1">$K$102-EFEITO!$M$102*EFEITO!$Z$102</f>
        <v>88.204226548522001</v>
      </c>
      <c r="O102" s="56">
        <f>$L$102-EFEITO!$O$102*EFEITO!$AA$102</f>
        <v>5.1129257173203086</v>
      </c>
      <c r="P102" s="39"/>
      <c r="Q102" s="39"/>
      <c r="R102" s="39"/>
      <c r="S102" s="39"/>
      <c r="T102" s="39"/>
      <c r="U102" s="39"/>
      <c r="V102" s="39"/>
      <c r="W102" s="39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35" t="s">
        <v>21</v>
      </c>
      <c r="B103" s="35" t="s">
        <v>35</v>
      </c>
      <c r="C103" s="35" t="s">
        <v>36</v>
      </c>
      <c r="D103" s="35" t="s">
        <v>47</v>
      </c>
      <c r="E103" s="35" t="s">
        <v>48</v>
      </c>
      <c r="F103" s="35" t="s">
        <v>25</v>
      </c>
      <c r="G103" s="35" t="s">
        <v>25</v>
      </c>
      <c r="H103" s="35" t="s">
        <v>37</v>
      </c>
      <c r="I103" s="55">
        <v>44593</v>
      </c>
      <c r="J103" s="56">
        <f>EFEITO!$J$103*EFEITO!$Y$73</f>
        <v>0</v>
      </c>
      <c r="K103" s="56">
        <f ca="1">EFEITO!$L$103*EFEITO!$Z$73</f>
        <v>2722.3526712506646</v>
      </c>
      <c r="L103" s="56">
        <f>EFEITO!$N$103*EFEITO!$AA$73</f>
        <v>157.80634930000969</v>
      </c>
      <c r="M103" s="56">
        <f>$J$103-EFEITO!$K$103*EFEITO!$Y$103</f>
        <v>0</v>
      </c>
      <c r="N103" s="56">
        <f ca="1">$K$103-EFEITO!$M$103*EFEITO!$Z$103</f>
        <v>81.670580137520119</v>
      </c>
      <c r="O103" s="56">
        <f>$L$103-EFEITO!$O$103*EFEITO!$AA$103</f>
        <v>4.73419047900029</v>
      </c>
      <c r="P103" s="39"/>
      <c r="Q103" s="39"/>
      <c r="R103" s="39"/>
      <c r="S103" s="39"/>
      <c r="T103" s="39"/>
      <c r="U103" s="39"/>
      <c r="V103" s="39"/>
      <c r="W103" s="39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35" t="s">
        <v>21</v>
      </c>
      <c r="B104" s="35" t="s">
        <v>35</v>
      </c>
      <c r="C104" s="35" t="s">
        <v>36</v>
      </c>
      <c r="D104" s="35" t="s">
        <v>47</v>
      </c>
      <c r="E104" s="35" t="s">
        <v>48</v>
      </c>
      <c r="F104" s="35" t="s">
        <v>25</v>
      </c>
      <c r="G104" s="35" t="s">
        <v>25</v>
      </c>
      <c r="H104" s="35" t="s">
        <v>37</v>
      </c>
      <c r="I104" s="55">
        <v>44621</v>
      </c>
      <c r="J104" s="56">
        <f>EFEITO!$J$104*EFEITO!$Y$73</f>
        <v>0</v>
      </c>
      <c r="K104" s="56">
        <f ca="1">EFEITO!$L$104*EFEITO!$Z$73</f>
        <v>2940.1408849507179</v>
      </c>
      <c r="L104" s="56">
        <f>EFEITO!$N$104*EFEITO!$AA$73</f>
        <v>170.43085724401047</v>
      </c>
      <c r="M104" s="56">
        <f>$J$104-EFEITO!$K$104*EFEITO!$Y$104</f>
        <v>0</v>
      </c>
      <c r="N104" s="56">
        <f ca="1">$K$104-EFEITO!$M$104*EFEITO!$Z$104</f>
        <v>88.204226548522001</v>
      </c>
      <c r="O104" s="56">
        <f>$L$104-EFEITO!$O$104*EFEITO!$AA$104</f>
        <v>5.1129257173203086</v>
      </c>
      <c r="P104" s="39"/>
      <c r="Q104" s="39"/>
      <c r="R104" s="39"/>
      <c r="S104" s="39"/>
      <c r="T104" s="39"/>
      <c r="U104" s="39"/>
      <c r="V104" s="39"/>
      <c r="W104" s="39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35" t="s">
        <v>21</v>
      </c>
      <c r="B105" s="35" t="s">
        <v>35</v>
      </c>
      <c r="C105" s="35" t="s">
        <v>36</v>
      </c>
      <c r="D105" s="35" t="s">
        <v>47</v>
      </c>
      <c r="E105" s="35" t="s">
        <v>48</v>
      </c>
      <c r="F105" s="35" t="s">
        <v>25</v>
      </c>
      <c r="G105" s="35" t="s">
        <v>25</v>
      </c>
      <c r="H105" s="35" t="s">
        <v>37</v>
      </c>
      <c r="I105" s="55">
        <v>44652</v>
      </c>
      <c r="J105" s="56">
        <f>EFEITO!$J$105*EFEITO!$Y$73</f>
        <v>0</v>
      </c>
      <c r="K105" s="56">
        <f ca="1">EFEITO!$L$105*EFEITO!$Z$73</f>
        <v>2504.5644575506117</v>
      </c>
      <c r="L105" s="56">
        <f>EFEITO!$N$105*EFEITO!$AA$73</f>
        <v>145.1818413560089</v>
      </c>
      <c r="M105" s="56">
        <f>$J$105-EFEITO!$K$105*EFEITO!$Y$105</f>
        <v>0</v>
      </c>
      <c r="N105" s="56">
        <f ca="1">$K$105-EFEITO!$M$105*EFEITO!$Z$105</f>
        <v>75.136933726518691</v>
      </c>
      <c r="O105" s="56">
        <f>$L$105-EFEITO!$O$105*EFEITO!$AA$105</f>
        <v>4.3554552406802429</v>
      </c>
      <c r="P105" s="39"/>
      <c r="Q105" s="39"/>
      <c r="R105" s="39"/>
      <c r="S105" s="39"/>
      <c r="T105" s="39"/>
      <c r="U105" s="39"/>
      <c r="V105" s="39"/>
      <c r="W105" s="39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35" t="s">
        <v>21</v>
      </c>
      <c r="B106" s="35" t="s">
        <v>35</v>
      </c>
      <c r="C106" s="35" t="s">
        <v>36</v>
      </c>
      <c r="D106" s="35" t="s">
        <v>47</v>
      </c>
      <c r="E106" s="35" t="s">
        <v>48</v>
      </c>
      <c r="F106" s="35" t="s">
        <v>25</v>
      </c>
      <c r="G106" s="35" t="s">
        <v>25</v>
      </c>
      <c r="H106" s="35" t="s">
        <v>37</v>
      </c>
      <c r="I106" s="55">
        <v>44682</v>
      </c>
      <c r="J106" s="56">
        <f>EFEITO!$J$106*EFEITO!$Y$73</f>
        <v>0</v>
      </c>
      <c r="K106" s="56">
        <f ca="1">EFEITO!$L$106*EFEITO!$Z$73</f>
        <v>2395.670350700585</v>
      </c>
      <c r="L106" s="56">
        <f>EFEITO!$N$106*EFEITO!$AA$73</f>
        <v>138.86958738400853</v>
      </c>
      <c r="M106" s="56">
        <f>$J$106-EFEITO!$K$106*EFEITO!$Y$106</f>
        <v>0</v>
      </c>
      <c r="N106" s="56">
        <f ca="1">$K$106-EFEITO!$M$106*EFEITO!$Z$106</f>
        <v>71.870110521017523</v>
      </c>
      <c r="O106" s="56">
        <f>$L$106-EFEITO!$O$106*EFEITO!$AA$106</f>
        <v>4.1660876215202336</v>
      </c>
      <c r="P106" s="39"/>
      <c r="Q106" s="39"/>
      <c r="R106" s="39"/>
      <c r="S106" s="39"/>
      <c r="T106" s="39"/>
      <c r="U106" s="39"/>
      <c r="V106" s="39"/>
      <c r="W106" s="39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35" t="s">
        <v>21</v>
      </c>
      <c r="B107" s="35" t="s">
        <v>35</v>
      </c>
      <c r="C107" s="35" t="s">
        <v>36</v>
      </c>
      <c r="D107" s="35" t="s">
        <v>47</v>
      </c>
      <c r="E107" s="35" t="s">
        <v>48</v>
      </c>
      <c r="F107" s="35" t="s">
        <v>25</v>
      </c>
      <c r="G107" s="35" t="s">
        <v>25</v>
      </c>
      <c r="H107" s="35" t="s">
        <v>37</v>
      </c>
      <c r="I107" s="55">
        <v>44713</v>
      </c>
      <c r="J107" s="56">
        <f>EFEITO!$J$107*EFEITO!$Y$73</f>
        <v>0</v>
      </c>
      <c r="K107" s="56">
        <f ca="1">EFEITO!$L$107*EFEITO!$Z$73</f>
        <v>2395.670350700585</v>
      </c>
      <c r="L107" s="56">
        <f>EFEITO!$N$107*EFEITO!$AA$73</f>
        <v>138.86958738400853</v>
      </c>
      <c r="M107" s="56">
        <f>$J$107-EFEITO!$K$107*EFEITO!$Y$107</f>
        <v>0</v>
      </c>
      <c r="N107" s="56">
        <f ca="1">$K$107-EFEITO!$M$107*EFEITO!$Z$107</f>
        <v>71.870110521017523</v>
      </c>
      <c r="O107" s="56">
        <f>$L$107-EFEITO!$O$107*EFEITO!$AA$107</f>
        <v>4.1660876215202336</v>
      </c>
      <c r="P107" s="39"/>
      <c r="Q107" s="39"/>
      <c r="R107" s="39"/>
      <c r="S107" s="39"/>
      <c r="T107" s="39"/>
      <c r="U107" s="39"/>
      <c r="V107" s="39"/>
      <c r="W107" s="39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35" t="s">
        <v>21</v>
      </c>
      <c r="B108" s="35" t="s">
        <v>35</v>
      </c>
      <c r="C108" s="35" t="s">
        <v>36</v>
      </c>
      <c r="D108" s="35" t="s">
        <v>47</v>
      </c>
      <c r="E108" s="35" t="s">
        <v>48</v>
      </c>
      <c r="F108" s="35" t="s">
        <v>25</v>
      </c>
      <c r="G108" s="35" t="s">
        <v>25</v>
      </c>
      <c r="H108" s="35" t="s">
        <v>37</v>
      </c>
      <c r="I108" s="55">
        <v>44743</v>
      </c>
      <c r="J108" s="56">
        <f>EFEITO!$J$108*EFEITO!$Y$73</f>
        <v>0</v>
      </c>
      <c r="K108" s="56">
        <f ca="1">EFEITO!$L$108*EFEITO!$Z$73</f>
        <v>2831.2467781006917</v>
      </c>
      <c r="L108" s="56">
        <f>EFEITO!$N$108*EFEITO!$AA$73</f>
        <v>164.11860327201009</v>
      </c>
      <c r="M108" s="56">
        <f>$J$108-EFEITO!$K$108*EFEITO!$Y$108</f>
        <v>0</v>
      </c>
      <c r="N108" s="56">
        <f ca="1">$K$108-EFEITO!$M$108*EFEITO!$Z$108</f>
        <v>84.937403343021288</v>
      </c>
      <c r="O108" s="56">
        <f>$L$108-EFEITO!$O$108*EFEITO!$AA$108</f>
        <v>4.9235580981602993</v>
      </c>
      <c r="P108" s="39"/>
      <c r="Q108" s="39"/>
      <c r="R108" s="39"/>
      <c r="S108" s="39"/>
      <c r="T108" s="39"/>
      <c r="U108" s="39"/>
      <c r="V108" s="39"/>
      <c r="W108" s="39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35" t="s">
        <v>21</v>
      </c>
      <c r="B109" s="35" t="s">
        <v>35</v>
      </c>
      <c r="C109" s="35" t="s">
        <v>36</v>
      </c>
      <c r="D109" s="35" t="s">
        <v>47</v>
      </c>
      <c r="E109" s="35" t="s">
        <v>48</v>
      </c>
      <c r="F109" s="35" t="s">
        <v>25</v>
      </c>
      <c r="G109" s="35" t="s">
        <v>25</v>
      </c>
      <c r="H109" s="35" t="s">
        <v>37</v>
      </c>
      <c r="I109" s="55">
        <v>44774</v>
      </c>
      <c r="J109" s="56">
        <f>EFEITO!$J$109*EFEITO!$Y$73</f>
        <v>0</v>
      </c>
      <c r="K109" s="56">
        <f ca="1">EFEITO!$L$109*EFEITO!$Z$73</f>
        <v>2504.5644575506117</v>
      </c>
      <c r="L109" s="56">
        <f>EFEITO!$N$109*EFEITO!$AA$73</f>
        <v>145.1818413560089</v>
      </c>
      <c r="M109" s="56">
        <f>$J$109-EFEITO!$K$109*EFEITO!$Y$109</f>
        <v>0</v>
      </c>
      <c r="N109" s="56">
        <f ca="1">$K$109-EFEITO!$M$109*EFEITO!$Z$109</f>
        <v>75.136933726518691</v>
      </c>
      <c r="O109" s="56">
        <f>$L$109-EFEITO!$O$109*EFEITO!$AA$109</f>
        <v>4.3554552406802429</v>
      </c>
      <c r="P109" s="39"/>
      <c r="Q109" s="39"/>
      <c r="R109" s="39"/>
      <c r="S109" s="39"/>
      <c r="T109" s="39"/>
      <c r="U109" s="39"/>
      <c r="V109" s="39"/>
      <c r="W109" s="39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35" t="s">
        <v>21</v>
      </c>
      <c r="B110" s="35" t="s">
        <v>22</v>
      </c>
      <c r="C110" s="35" t="s">
        <v>23</v>
      </c>
      <c r="D110" s="35" t="s">
        <v>24</v>
      </c>
      <c r="E110" s="35" t="s">
        <v>24</v>
      </c>
      <c r="F110" s="35" t="s">
        <v>25</v>
      </c>
      <c r="G110" s="35" t="s">
        <v>25</v>
      </c>
      <c r="H110" s="35" t="s">
        <v>25</v>
      </c>
      <c r="I110" s="55">
        <v>44440</v>
      </c>
      <c r="J110" s="56">
        <f>EFEITO!$J$110*EFEITO!$Y$110</f>
        <v>0</v>
      </c>
      <c r="K110" s="56">
        <f ca="1">EFEITO!$L$110*EFEITO!$Z$110</f>
        <v>435054.38730041235</v>
      </c>
      <c r="L110" s="56">
        <f>EFEITO!$N$110*EFEITO!$AA$110</f>
        <v>126445.37803555831</v>
      </c>
      <c r="M110" s="56">
        <f>$J$110-EFEITO!$K$110*EFEITO!$Y$110</f>
        <v>0</v>
      </c>
      <c r="N110" s="56">
        <f ca="1">$K$110-EFEITO!$M$110*EFEITO!$Z$110</f>
        <v>0</v>
      </c>
      <c r="O110" s="56">
        <f>$L$110-EFEITO!$O$110*EFEITO!$AA$110</f>
        <v>0</v>
      </c>
      <c r="P110" s="39"/>
      <c r="Q110" s="39"/>
      <c r="R110" s="39"/>
      <c r="S110" s="39"/>
      <c r="T110" s="39"/>
      <c r="U110" s="39"/>
      <c r="V110" s="39"/>
      <c r="W110" s="39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35" t="s">
        <v>27</v>
      </c>
      <c r="B111" s="35" t="s">
        <v>22</v>
      </c>
      <c r="C111" s="35" t="s">
        <v>23</v>
      </c>
      <c r="D111" s="35" t="s">
        <v>24</v>
      </c>
      <c r="E111" s="35" t="s">
        <v>24</v>
      </c>
      <c r="F111" s="35" t="s">
        <v>25</v>
      </c>
      <c r="G111" s="35" t="s">
        <v>25</v>
      </c>
      <c r="H111" s="35" t="s">
        <v>25</v>
      </c>
      <c r="I111" s="55">
        <v>44440</v>
      </c>
      <c r="J111" s="56">
        <f>EFEITO!$J$111*EFEITO!$Y$111</f>
        <v>0</v>
      </c>
      <c r="K111" s="56">
        <f ca="1">EFEITO!$L$111*EFEITO!$Z$111</f>
        <v>-946.59837271090225</v>
      </c>
      <c r="L111" s="56">
        <f>EFEITO!$N$111*EFEITO!$AA$111</f>
        <v>-275.12189873084617</v>
      </c>
      <c r="M111" s="56">
        <f>$J$111-EFEITO!$K$111*EFEITO!$Y$111</f>
        <v>0</v>
      </c>
      <c r="N111" s="56">
        <f ca="1">$K$111-EFEITO!$M$111*EFEITO!$Z$111</f>
        <v>0</v>
      </c>
      <c r="O111" s="56">
        <f>$L$111-EFEITO!$O$111*EFEITO!$AA$111</f>
        <v>0</v>
      </c>
      <c r="P111" s="39"/>
      <c r="Q111" s="39"/>
      <c r="R111" s="39"/>
      <c r="S111" s="39"/>
      <c r="T111" s="39"/>
      <c r="U111" s="39"/>
      <c r="V111" s="39"/>
      <c r="W111" s="39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35" t="s">
        <v>28</v>
      </c>
      <c r="B112" s="35" t="s">
        <v>22</v>
      </c>
      <c r="C112" s="35" t="s">
        <v>23</v>
      </c>
      <c r="D112" s="35" t="s">
        <v>24</v>
      </c>
      <c r="E112" s="35" t="s">
        <v>24</v>
      </c>
      <c r="F112" s="35" t="s">
        <v>25</v>
      </c>
      <c r="G112" s="35" t="s">
        <v>25</v>
      </c>
      <c r="H112" s="35" t="s">
        <v>25</v>
      </c>
      <c r="I112" s="55">
        <v>44440</v>
      </c>
      <c r="J112" s="56">
        <f>EFEITO!$J$112*EFEITO!$Y$112</f>
        <v>0</v>
      </c>
      <c r="K112" s="56">
        <f ca="1">EFEITO!$L$112*EFEITO!$Z$112</f>
        <v>4555.5377757771457</v>
      </c>
      <c r="L112" s="56">
        <f>EFEITO!$N$112*EFEITO!$AA$112</f>
        <v>1324.0337599805691</v>
      </c>
      <c r="M112" s="56">
        <f>$J$112-EFEITO!$K$112*EFEITO!$Y$112</f>
        <v>0</v>
      </c>
      <c r="N112" s="56">
        <f ca="1">$K$112-EFEITO!$M$112*EFEITO!$Z$112</f>
        <v>0</v>
      </c>
      <c r="O112" s="56">
        <f>$L$112-EFEITO!$O$112*EFEITO!$AA$112</f>
        <v>0</v>
      </c>
      <c r="P112" s="39"/>
      <c r="Q112" s="39"/>
      <c r="R112" s="39"/>
      <c r="S112" s="39"/>
      <c r="T112" s="39"/>
      <c r="U112" s="39"/>
      <c r="V112" s="39"/>
      <c r="W112" s="39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35" t="s">
        <v>21</v>
      </c>
      <c r="B113" s="35" t="s">
        <v>22</v>
      </c>
      <c r="C113" s="35" t="s">
        <v>23</v>
      </c>
      <c r="D113" s="35" t="s">
        <v>24</v>
      </c>
      <c r="E113" s="35" t="s">
        <v>24</v>
      </c>
      <c r="F113" s="35" t="s">
        <v>25</v>
      </c>
      <c r="G113" s="35" t="s">
        <v>25</v>
      </c>
      <c r="H113" s="35" t="s">
        <v>25</v>
      </c>
      <c r="I113" s="55">
        <v>44470</v>
      </c>
      <c r="J113" s="56">
        <f>EFEITO!$J$113*EFEITO!$Y$113</f>
        <v>0</v>
      </c>
      <c r="K113" s="56">
        <f ca="1">EFEITO!$L$113*EFEITO!$Z$113</f>
        <v>372640.3414900963</v>
      </c>
      <c r="L113" s="56">
        <f>EFEITO!$N$113*EFEITO!$AA$113</f>
        <v>108305.19177934081</v>
      </c>
      <c r="M113" s="56">
        <f>$J$113-EFEITO!$K$113*EFEITO!$Y$113</f>
        <v>0</v>
      </c>
      <c r="N113" s="56">
        <f ca="1">$K$113-EFEITO!$M$113*EFEITO!$Z$113</f>
        <v>0</v>
      </c>
      <c r="O113" s="56">
        <f>$L$113-EFEITO!$O$113*EFEITO!$AA$113</f>
        <v>0</v>
      </c>
      <c r="P113" s="39"/>
      <c r="Q113" s="39"/>
      <c r="R113" s="39"/>
      <c r="S113" s="39"/>
      <c r="T113" s="39"/>
      <c r="U113" s="39"/>
      <c r="V113" s="39"/>
      <c r="W113" s="39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35" t="s">
        <v>28</v>
      </c>
      <c r="B114" s="35" t="s">
        <v>22</v>
      </c>
      <c r="C114" s="35" t="s">
        <v>23</v>
      </c>
      <c r="D114" s="35" t="s">
        <v>24</v>
      </c>
      <c r="E114" s="35" t="s">
        <v>24</v>
      </c>
      <c r="F114" s="35" t="s">
        <v>25</v>
      </c>
      <c r="G114" s="35" t="s">
        <v>25</v>
      </c>
      <c r="H114" s="35" t="s">
        <v>25</v>
      </c>
      <c r="I114" s="55">
        <v>44470</v>
      </c>
      <c r="J114" s="56">
        <f>EFEITO!$J$114*EFEITO!$Y$114</f>
        <v>0</v>
      </c>
      <c r="K114" s="56">
        <f ca="1">EFEITO!$L$114*EFEITO!$Z$114</f>
        <v>5185.3673589630798</v>
      </c>
      <c r="L114" s="56">
        <f>EFEITO!$N$114*EFEITO!$AA$114</f>
        <v>1507.0891251685803</v>
      </c>
      <c r="M114" s="56">
        <f>$J$114-EFEITO!$K$114*EFEITO!$Y$114</f>
        <v>0</v>
      </c>
      <c r="N114" s="56">
        <f ca="1">$K$114-EFEITO!$M$114*EFEITO!$Z$114</f>
        <v>0</v>
      </c>
      <c r="O114" s="56">
        <f>$L$114-EFEITO!$O$114*EFEITO!$AA$114</f>
        <v>0</v>
      </c>
      <c r="P114" s="39"/>
      <c r="Q114" s="39"/>
      <c r="R114" s="39"/>
      <c r="S114" s="39"/>
      <c r="T114" s="39"/>
      <c r="U114" s="39"/>
      <c r="V114" s="39"/>
      <c r="W114" s="39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35" t="s">
        <v>21</v>
      </c>
      <c r="B115" s="35" t="s">
        <v>22</v>
      </c>
      <c r="C115" s="35" t="s">
        <v>23</v>
      </c>
      <c r="D115" s="35" t="s">
        <v>24</v>
      </c>
      <c r="E115" s="35" t="s">
        <v>24</v>
      </c>
      <c r="F115" s="35" t="s">
        <v>25</v>
      </c>
      <c r="G115" s="35" t="s">
        <v>25</v>
      </c>
      <c r="H115" s="35" t="s">
        <v>25</v>
      </c>
      <c r="I115" s="55">
        <v>44501</v>
      </c>
      <c r="J115" s="56">
        <f>EFEITO!$J$115*EFEITO!$Y$115</f>
        <v>0</v>
      </c>
      <c r="K115" s="56">
        <f ca="1">EFEITO!$L$115*EFEITO!$Z$115</f>
        <v>424778.47133386572</v>
      </c>
      <c r="L115" s="56">
        <f>EFEITO!$N$115*EFEITO!$AA$115</f>
        <v>123458.75816231842</v>
      </c>
      <c r="M115" s="56">
        <f>$J$115-EFEITO!$K$115*EFEITO!$Y$115</f>
        <v>0</v>
      </c>
      <c r="N115" s="56">
        <f ca="1">$K$115-EFEITO!$M$115*EFEITO!$Z$115</f>
        <v>0</v>
      </c>
      <c r="O115" s="56">
        <f>$L$115-EFEITO!$O$115*EFEITO!$AA$115</f>
        <v>0</v>
      </c>
      <c r="P115" s="39"/>
      <c r="Q115" s="39"/>
      <c r="R115" s="39"/>
      <c r="S115" s="39"/>
      <c r="T115" s="39"/>
      <c r="U115" s="39"/>
      <c r="V115" s="39"/>
      <c r="W115" s="39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35" t="s">
        <v>27</v>
      </c>
      <c r="B116" s="35" t="s">
        <v>22</v>
      </c>
      <c r="C116" s="35" t="s">
        <v>23</v>
      </c>
      <c r="D116" s="35" t="s">
        <v>24</v>
      </c>
      <c r="E116" s="35" t="s">
        <v>24</v>
      </c>
      <c r="F116" s="35" t="s">
        <v>25</v>
      </c>
      <c r="G116" s="35" t="s">
        <v>25</v>
      </c>
      <c r="H116" s="35" t="s">
        <v>25</v>
      </c>
      <c r="I116" s="55">
        <v>44501</v>
      </c>
      <c r="J116" s="56">
        <f>EFEITO!$J$116*EFEITO!$Y$116</f>
        <v>0</v>
      </c>
      <c r="K116" s="56">
        <f ca="1">EFEITO!$L$116*EFEITO!$Z$116</f>
        <v>-97.997033548694418</v>
      </c>
      <c r="L116" s="56">
        <f>EFEITO!$N$116*EFEITO!$AA$116</f>
        <v>-28.48212158097736</v>
      </c>
      <c r="M116" s="56">
        <f>$J$116-EFEITO!$K$116*EFEITO!$Y$116</f>
        <v>0</v>
      </c>
      <c r="N116" s="56">
        <f ca="1">$K$116-EFEITO!$M$116*EFEITO!$Z$116</f>
        <v>0</v>
      </c>
      <c r="O116" s="56">
        <f>$L$116-EFEITO!$O$116*EFEITO!$AA$116</f>
        <v>0</v>
      </c>
      <c r="P116" s="39"/>
      <c r="Q116" s="39"/>
      <c r="R116" s="39"/>
      <c r="S116" s="39"/>
      <c r="T116" s="39"/>
      <c r="U116" s="39"/>
      <c r="V116" s="39"/>
      <c r="W116" s="39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35" t="s">
        <v>28</v>
      </c>
      <c r="B117" s="35" t="s">
        <v>22</v>
      </c>
      <c r="C117" s="35" t="s">
        <v>23</v>
      </c>
      <c r="D117" s="35" t="s">
        <v>24</v>
      </c>
      <c r="E117" s="35" t="s">
        <v>24</v>
      </c>
      <c r="F117" s="35" t="s">
        <v>25</v>
      </c>
      <c r="G117" s="35" t="s">
        <v>25</v>
      </c>
      <c r="H117" s="35" t="s">
        <v>25</v>
      </c>
      <c r="I117" s="55">
        <v>44501</v>
      </c>
      <c r="J117" s="56">
        <f>EFEITO!$J$117*EFEITO!$Y$117</f>
        <v>0</v>
      </c>
      <c r="K117" s="56">
        <f ca="1">EFEITO!$L$117*EFEITO!$Z$117</f>
        <v>5323.0929196261095</v>
      </c>
      <c r="L117" s="56">
        <f>EFEITO!$N$117*EFEITO!$AA$117</f>
        <v>1547.1180527958998</v>
      </c>
      <c r="M117" s="56">
        <f>$J$117-EFEITO!$K$117*EFEITO!$Y$117</f>
        <v>0</v>
      </c>
      <c r="N117" s="56">
        <f ca="1">$K$117-EFEITO!$M$117*EFEITO!$Z$117</f>
        <v>0</v>
      </c>
      <c r="O117" s="56">
        <f>$L$117-EFEITO!$O$117*EFEITO!$AA$117</f>
        <v>0</v>
      </c>
      <c r="P117" s="39"/>
      <c r="Q117" s="39"/>
      <c r="R117" s="39"/>
      <c r="S117" s="39"/>
      <c r="T117" s="39"/>
      <c r="U117" s="39"/>
      <c r="V117" s="39"/>
      <c r="W117" s="39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35" t="s">
        <v>21</v>
      </c>
      <c r="B118" s="35" t="s">
        <v>22</v>
      </c>
      <c r="C118" s="35" t="s">
        <v>23</v>
      </c>
      <c r="D118" s="35" t="s">
        <v>24</v>
      </c>
      <c r="E118" s="35" t="s">
        <v>24</v>
      </c>
      <c r="F118" s="35" t="s">
        <v>25</v>
      </c>
      <c r="G118" s="35" t="s">
        <v>25</v>
      </c>
      <c r="H118" s="35" t="s">
        <v>25</v>
      </c>
      <c r="I118" s="55">
        <v>44531</v>
      </c>
      <c r="J118" s="56">
        <f>EFEITO!$J$118*EFEITO!$Y$118</f>
        <v>0</v>
      </c>
      <c r="K118" s="56">
        <f ca="1">EFEITO!$L$118*EFEITO!$Z$118</f>
        <v>492544.74431702506</v>
      </c>
      <c r="L118" s="56">
        <f>EFEITO!$N$118*EFEITO!$AA$118</f>
        <v>143154.53012909915</v>
      </c>
      <c r="M118" s="56">
        <f>$J$118-EFEITO!$K$118*EFEITO!$Y$118</f>
        <v>0</v>
      </c>
      <c r="N118" s="56">
        <f ca="1">$K$118-EFEITO!$M$118*EFEITO!$Z$118</f>
        <v>0</v>
      </c>
      <c r="O118" s="56">
        <f>$L$118-EFEITO!$O$118*EFEITO!$AA$118</f>
        <v>0</v>
      </c>
      <c r="P118" s="39"/>
      <c r="Q118" s="39"/>
      <c r="R118" s="39"/>
      <c r="S118" s="39"/>
      <c r="T118" s="39"/>
      <c r="U118" s="39"/>
      <c r="V118" s="39"/>
      <c r="W118" s="39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35" t="s">
        <v>27</v>
      </c>
      <c r="B119" s="35" t="s">
        <v>22</v>
      </c>
      <c r="C119" s="35" t="s">
        <v>23</v>
      </c>
      <c r="D119" s="35" t="s">
        <v>24</v>
      </c>
      <c r="E119" s="35" t="s">
        <v>24</v>
      </c>
      <c r="F119" s="35" t="s">
        <v>25</v>
      </c>
      <c r="G119" s="35" t="s">
        <v>25</v>
      </c>
      <c r="H119" s="35" t="s">
        <v>25</v>
      </c>
      <c r="I119" s="55">
        <v>44531</v>
      </c>
      <c r="J119" s="56">
        <f>EFEITO!$J$119*EFEITO!$Y$119</f>
        <v>0</v>
      </c>
      <c r="K119" s="56">
        <f ca="1">EFEITO!$L$119*EFEITO!$Z$119</f>
        <v>-111.76958961499741</v>
      </c>
      <c r="L119" s="56">
        <f>EFEITO!$N$119*EFEITO!$AA$119</f>
        <v>-32.48501434370931</v>
      </c>
      <c r="M119" s="56">
        <f>$J$119-EFEITO!$K$119*EFEITO!$Y$119</f>
        <v>0</v>
      </c>
      <c r="N119" s="56">
        <f ca="1">$K$119-EFEITO!$M$119*EFEITO!$Z$119</f>
        <v>0</v>
      </c>
      <c r="O119" s="56">
        <f>$L$119-EFEITO!$O$119*EFEITO!$AA$119</f>
        <v>0</v>
      </c>
      <c r="P119" s="39"/>
      <c r="Q119" s="39"/>
      <c r="R119" s="39"/>
      <c r="S119" s="39"/>
      <c r="T119" s="39"/>
      <c r="U119" s="39"/>
      <c r="V119" s="39"/>
      <c r="W119" s="39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35" t="s">
        <v>28</v>
      </c>
      <c r="B120" s="35" t="s">
        <v>22</v>
      </c>
      <c r="C120" s="35" t="s">
        <v>23</v>
      </c>
      <c r="D120" s="35" t="s">
        <v>24</v>
      </c>
      <c r="E120" s="35" t="s">
        <v>24</v>
      </c>
      <c r="F120" s="35" t="s">
        <v>25</v>
      </c>
      <c r="G120" s="35" t="s">
        <v>25</v>
      </c>
      <c r="H120" s="35" t="s">
        <v>25</v>
      </c>
      <c r="I120" s="55">
        <v>44531</v>
      </c>
      <c r="J120" s="56">
        <f>EFEITO!$J$120*EFEITO!$Y$120</f>
        <v>0</v>
      </c>
      <c r="K120" s="56">
        <f ca="1">EFEITO!$L$120*EFEITO!$Z$120</f>
        <v>5647.2777008790872</v>
      </c>
      <c r="L120" s="56">
        <f>EFEITO!$N$120*EFEITO!$AA$120</f>
        <v>1641.339990134052</v>
      </c>
      <c r="M120" s="56">
        <f>$J$120-EFEITO!$K$120*EFEITO!$Y$120</f>
        <v>0</v>
      </c>
      <c r="N120" s="56">
        <f ca="1">$K$120-EFEITO!$M$120*EFEITO!$Z$120</f>
        <v>0</v>
      </c>
      <c r="O120" s="56">
        <f>$L$120-EFEITO!$O$120*EFEITO!$AA$120</f>
        <v>0</v>
      </c>
      <c r="P120" s="39"/>
      <c r="Q120" s="39"/>
      <c r="R120" s="39"/>
      <c r="S120" s="39"/>
      <c r="T120" s="39"/>
      <c r="U120" s="39"/>
      <c r="V120" s="39"/>
      <c r="W120" s="39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35" t="s">
        <v>21</v>
      </c>
      <c r="B121" s="35" t="s">
        <v>22</v>
      </c>
      <c r="C121" s="35" t="s">
        <v>23</v>
      </c>
      <c r="D121" s="35" t="s">
        <v>24</v>
      </c>
      <c r="E121" s="35" t="s">
        <v>24</v>
      </c>
      <c r="F121" s="35" t="s">
        <v>25</v>
      </c>
      <c r="G121" s="35" t="s">
        <v>25</v>
      </c>
      <c r="H121" s="35" t="s">
        <v>25</v>
      </c>
      <c r="I121" s="55">
        <v>44562</v>
      </c>
      <c r="J121" s="56">
        <f>EFEITO!$J$121*EFEITO!$Y$121</f>
        <v>0</v>
      </c>
      <c r="K121" s="56">
        <f ca="1">EFEITO!$L$121*EFEITO!$Z$121</f>
        <v>569367.00262747344</v>
      </c>
      <c r="L121" s="56">
        <f>EFEITO!$N$121*EFEITO!$AA$121</f>
        <v>165482.35804479007</v>
      </c>
      <c r="M121" s="56">
        <f>$J$121-EFEITO!$K$121*EFEITO!$Y$121</f>
        <v>0</v>
      </c>
      <c r="N121" s="56">
        <f ca="1">$K$121-EFEITO!$M$121*EFEITO!$Z$121</f>
        <v>0</v>
      </c>
      <c r="O121" s="56">
        <f>$L$121-EFEITO!$O$121*EFEITO!$AA$121</f>
        <v>0</v>
      </c>
      <c r="P121" s="39"/>
      <c r="Q121" s="39"/>
      <c r="R121" s="39"/>
      <c r="S121" s="39"/>
      <c r="T121" s="39"/>
      <c r="U121" s="39"/>
      <c r="V121" s="39"/>
      <c r="W121" s="39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35" t="s">
        <v>27</v>
      </c>
      <c r="B122" s="35" t="s">
        <v>22</v>
      </c>
      <c r="C122" s="35" t="s">
        <v>23</v>
      </c>
      <c r="D122" s="35" t="s">
        <v>24</v>
      </c>
      <c r="E122" s="35" t="s">
        <v>24</v>
      </c>
      <c r="F122" s="35" t="s">
        <v>25</v>
      </c>
      <c r="G122" s="35" t="s">
        <v>25</v>
      </c>
      <c r="H122" s="35" t="s">
        <v>25</v>
      </c>
      <c r="I122" s="55">
        <v>44562</v>
      </c>
      <c r="J122" s="56">
        <f>EFEITO!$J$122*EFEITO!$Y$122</f>
        <v>0</v>
      </c>
      <c r="K122" s="56">
        <f ca="1">EFEITO!$L$122*EFEITO!$Z$122</f>
        <v>-142.49298391675029</v>
      </c>
      <c r="L122" s="56">
        <f>EFEITO!$N$122*EFEITO!$AA$122</f>
        <v>-41.414544352880597</v>
      </c>
      <c r="M122" s="56">
        <f>$J$122-EFEITO!$K$122*EFEITO!$Y$122</f>
        <v>0</v>
      </c>
      <c r="N122" s="56">
        <f ca="1">$K$122-EFEITO!$M$122*EFEITO!$Z$122</f>
        <v>0</v>
      </c>
      <c r="O122" s="56">
        <f>$L$122-EFEITO!$O$122*EFEITO!$AA$122</f>
        <v>0</v>
      </c>
      <c r="P122" s="39"/>
      <c r="Q122" s="39"/>
      <c r="R122" s="39"/>
      <c r="S122" s="39"/>
      <c r="T122" s="39"/>
      <c r="U122" s="39"/>
      <c r="V122" s="39"/>
      <c r="W122" s="39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35" t="s">
        <v>28</v>
      </c>
      <c r="B123" s="35" t="s">
        <v>22</v>
      </c>
      <c r="C123" s="35" t="s">
        <v>23</v>
      </c>
      <c r="D123" s="35" t="s">
        <v>24</v>
      </c>
      <c r="E123" s="35" t="s">
        <v>24</v>
      </c>
      <c r="F123" s="35" t="s">
        <v>25</v>
      </c>
      <c r="G123" s="35" t="s">
        <v>25</v>
      </c>
      <c r="H123" s="35" t="s">
        <v>25</v>
      </c>
      <c r="I123" s="55">
        <v>44562</v>
      </c>
      <c r="J123" s="56">
        <f>EFEITO!$J$123*EFEITO!$Y$123</f>
        <v>0</v>
      </c>
      <c r="K123" s="56">
        <f ca="1">EFEITO!$L$123*EFEITO!$Z$123</f>
        <v>5985.2350381983688</v>
      </c>
      <c r="L123" s="56">
        <f>EFEITO!$N$123*EFEITO!$AA$123</f>
        <v>1739.5648202349362</v>
      </c>
      <c r="M123" s="56">
        <f>$J$123-EFEITO!$K$123*EFEITO!$Y$123</f>
        <v>0</v>
      </c>
      <c r="N123" s="56">
        <f ca="1">$K$123-EFEITO!$M$123*EFEITO!$Z$123</f>
        <v>0</v>
      </c>
      <c r="O123" s="56">
        <f>$L$123-EFEITO!$O$123*EFEITO!$AA$123</f>
        <v>0</v>
      </c>
      <c r="P123" s="39"/>
      <c r="Q123" s="39"/>
      <c r="R123" s="39"/>
      <c r="S123" s="39"/>
      <c r="T123" s="39"/>
      <c r="U123" s="39"/>
      <c r="V123" s="39"/>
      <c r="W123" s="39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35" t="s">
        <v>21</v>
      </c>
      <c r="B124" s="35" t="s">
        <v>22</v>
      </c>
      <c r="C124" s="35" t="s">
        <v>23</v>
      </c>
      <c r="D124" s="35" t="s">
        <v>24</v>
      </c>
      <c r="E124" s="35" t="s">
        <v>24</v>
      </c>
      <c r="F124" s="35" t="s">
        <v>25</v>
      </c>
      <c r="G124" s="35" t="s">
        <v>25</v>
      </c>
      <c r="H124" s="35" t="s">
        <v>25</v>
      </c>
      <c r="I124" s="55">
        <v>44593</v>
      </c>
      <c r="J124" s="56">
        <f>EFEITO!$J$124*EFEITO!$Y$124</f>
        <v>0</v>
      </c>
      <c r="K124" s="56">
        <f ca="1">EFEITO!$L$124*EFEITO!$Z$124</f>
        <v>462351.59342382487</v>
      </c>
      <c r="L124" s="56">
        <f>EFEITO!$N$124*EFEITO!$AA$124</f>
        <v>134379.11149129304</v>
      </c>
      <c r="M124" s="56">
        <f>$J$124-EFEITO!$K$124*EFEITO!$Y$124</f>
        <v>0</v>
      </c>
      <c r="N124" s="56">
        <f ca="1">$K$124-EFEITO!$M$124*EFEITO!$Z$124</f>
        <v>0</v>
      </c>
      <c r="O124" s="56">
        <f>$L$124-EFEITO!$O$124*EFEITO!$AA$124</f>
        <v>0</v>
      </c>
      <c r="P124" s="39"/>
      <c r="Q124" s="39"/>
      <c r="R124" s="39"/>
      <c r="S124" s="39"/>
      <c r="T124" s="39"/>
      <c r="U124" s="39"/>
      <c r="V124" s="39"/>
      <c r="W124" s="39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35" t="s">
        <v>27</v>
      </c>
      <c r="B125" s="35" t="s">
        <v>22</v>
      </c>
      <c r="C125" s="35" t="s">
        <v>23</v>
      </c>
      <c r="D125" s="35" t="s">
        <v>24</v>
      </c>
      <c r="E125" s="35" t="s">
        <v>24</v>
      </c>
      <c r="F125" s="35" t="s">
        <v>25</v>
      </c>
      <c r="G125" s="35" t="s">
        <v>25</v>
      </c>
      <c r="H125" s="35" t="s">
        <v>25</v>
      </c>
      <c r="I125" s="55">
        <v>44593</v>
      </c>
      <c r="J125" s="56">
        <f>EFEITO!$J$125*EFEITO!$Y$125</f>
        <v>0</v>
      </c>
      <c r="K125" s="56">
        <f ca="1">EFEITO!$L$125*EFEITO!$Z$125</f>
        <v>-87.402759651538275</v>
      </c>
      <c r="L125" s="56">
        <f>EFEITO!$N$125*EFEITO!$AA$125</f>
        <v>-25.40297330195278</v>
      </c>
      <c r="M125" s="56">
        <f>$J$125-EFEITO!$K$125*EFEITO!$Y$125</f>
        <v>0</v>
      </c>
      <c r="N125" s="56">
        <f ca="1">$K$125-EFEITO!$M$125*EFEITO!$Z$125</f>
        <v>0</v>
      </c>
      <c r="O125" s="56">
        <f>$L$125-EFEITO!$O$125*EFEITO!$AA$125</f>
        <v>0</v>
      </c>
      <c r="P125" s="39"/>
      <c r="Q125" s="39"/>
      <c r="R125" s="39"/>
      <c r="S125" s="39"/>
      <c r="T125" s="39"/>
      <c r="U125" s="39"/>
      <c r="V125" s="39"/>
      <c r="W125" s="39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35" t="s">
        <v>28</v>
      </c>
      <c r="B126" s="35" t="s">
        <v>22</v>
      </c>
      <c r="C126" s="35" t="s">
        <v>23</v>
      </c>
      <c r="D126" s="35" t="s">
        <v>24</v>
      </c>
      <c r="E126" s="35" t="s">
        <v>24</v>
      </c>
      <c r="F126" s="35" t="s">
        <v>25</v>
      </c>
      <c r="G126" s="35" t="s">
        <v>25</v>
      </c>
      <c r="H126" s="35" t="s">
        <v>25</v>
      </c>
      <c r="I126" s="55">
        <v>44593</v>
      </c>
      <c r="J126" s="56">
        <f>EFEITO!$J$126*EFEITO!$Y$126</f>
        <v>0</v>
      </c>
      <c r="K126" s="56">
        <f ca="1">EFEITO!$L$126*EFEITO!$Z$126</f>
        <v>5259.5272762431723</v>
      </c>
      <c r="L126" s="56">
        <f>EFEITO!$N$126*EFEITO!$AA$126</f>
        <v>1528.6431631217524</v>
      </c>
      <c r="M126" s="56">
        <f>$J$126-EFEITO!$K$126*EFEITO!$Y$126</f>
        <v>0</v>
      </c>
      <c r="N126" s="56">
        <f ca="1">$K$126-EFEITO!$M$126*EFEITO!$Z$126</f>
        <v>0</v>
      </c>
      <c r="O126" s="56">
        <f>$L$126-EFEITO!$O$126*EFEITO!$AA$126</f>
        <v>0</v>
      </c>
      <c r="P126" s="39"/>
      <c r="Q126" s="39"/>
      <c r="R126" s="39"/>
      <c r="S126" s="39"/>
      <c r="T126" s="39"/>
      <c r="U126" s="39"/>
      <c r="V126" s="39"/>
      <c r="W126" s="39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35" t="s">
        <v>21</v>
      </c>
      <c r="B127" s="35" t="s">
        <v>22</v>
      </c>
      <c r="C127" s="35" t="s">
        <v>23</v>
      </c>
      <c r="D127" s="35" t="s">
        <v>24</v>
      </c>
      <c r="E127" s="35" t="s">
        <v>24</v>
      </c>
      <c r="F127" s="35" t="s">
        <v>25</v>
      </c>
      <c r="G127" s="35" t="s">
        <v>25</v>
      </c>
      <c r="H127" s="35" t="s">
        <v>25</v>
      </c>
      <c r="I127" s="55">
        <v>44621</v>
      </c>
      <c r="J127" s="56">
        <f>EFEITO!$J$127*EFEITO!$Y$127</f>
        <v>0</v>
      </c>
      <c r="K127" s="56">
        <f ca="1">EFEITO!$L$127*EFEITO!$Z$127</f>
        <v>472519.44779662049</v>
      </c>
      <c r="L127" s="56">
        <f>EFEITO!$N$127*EFEITO!$AA$127</f>
        <v>137334.32405208689</v>
      </c>
      <c r="M127" s="56">
        <f>$J$127-EFEITO!$K$127*EFEITO!$Y$127</f>
        <v>0</v>
      </c>
      <c r="N127" s="56">
        <f ca="1">$K$127-EFEITO!$M$127*EFEITO!$Z$127</f>
        <v>0</v>
      </c>
      <c r="O127" s="56">
        <f>$L$127-EFEITO!$O$127*EFEITO!$AA$127</f>
        <v>0</v>
      </c>
      <c r="P127" s="39"/>
      <c r="Q127" s="39"/>
      <c r="R127" s="39"/>
      <c r="S127" s="39"/>
      <c r="T127" s="39"/>
      <c r="U127" s="39"/>
      <c r="V127" s="39"/>
      <c r="W127" s="39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35" t="s">
        <v>28</v>
      </c>
      <c r="B128" s="35" t="s">
        <v>22</v>
      </c>
      <c r="C128" s="35" t="s">
        <v>23</v>
      </c>
      <c r="D128" s="35" t="s">
        <v>24</v>
      </c>
      <c r="E128" s="35" t="s">
        <v>24</v>
      </c>
      <c r="F128" s="35" t="s">
        <v>25</v>
      </c>
      <c r="G128" s="35" t="s">
        <v>25</v>
      </c>
      <c r="H128" s="35" t="s">
        <v>25</v>
      </c>
      <c r="I128" s="55">
        <v>44621</v>
      </c>
      <c r="J128" s="56">
        <f>EFEITO!$J$128*EFEITO!$Y$128</f>
        <v>0</v>
      </c>
      <c r="K128" s="56">
        <f ca="1">EFEITO!$L$128*EFEITO!$Z$128</f>
        <v>7969.5425391357167</v>
      </c>
      <c r="L128" s="56">
        <f>EFEITO!$N$128*EFEITO!$AA$128</f>
        <v>2316.2892928962397</v>
      </c>
      <c r="M128" s="56">
        <f>$J$128-EFEITO!$K$128*EFEITO!$Y$128</f>
        <v>0</v>
      </c>
      <c r="N128" s="56">
        <f ca="1">$K$128-EFEITO!$M$128*EFEITO!$Z$128</f>
        <v>0</v>
      </c>
      <c r="O128" s="56">
        <f>$L$128-EFEITO!$O$128*EFEITO!$AA$128</f>
        <v>0</v>
      </c>
      <c r="P128" s="39"/>
      <c r="Q128" s="39"/>
      <c r="R128" s="39"/>
      <c r="S128" s="39"/>
      <c r="T128" s="39"/>
      <c r="U128" s="39"/>
      <c r="V128" s="39"/>
      <c r="W128" s="39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35" t="s">
        <v>21</v>
      </c>
      <c r="B129" s="35" t="s">
        <v>22</v>
      </c>
      <c r="C129" s="35" t="s">
        <v>23</v>
      </c>
      <c r="D129" s="35" t="s">
        <v>24</v>
      </c>
      <c r="E129" s="35" t="s">
        <v>24</v>
      </c>
      <c r="F129" s="35" t="s">
        <v>25</v>
      </c>
      <c r="G129" s="35" t="s">
        <v>25</v>
      </c>
      <c r="H129" s="35" t="s">
        <v>25</v>
      </c>
      <c r="I129" s="55">
        <v>44652</v>
      </c>
      <c r="J129" s="56">
        <f>EFEITO!$J$129*EFEITO!$Y$129</f>
        <v>0</v>
      </c>
      <c r="K129" s="56">
        <f ca="1">EFEITO!$L$129*EFEITO!$Z$129</f>
        <v>417752.34888527176</v>
      </c>
      <c r="L129" s="56">
        <f>EFEITO!$N$129*EFEITO!$AA$129</f>
        <v>121416.66702366932</v>
      </c>
      <c r="M129" s="56">
        <f>$J$129-EFEITO!$K$129*EFEITO!$Y$129</f>
        <v>0</v>
      </c>
      <c r="N129" s="56">
        <f ca="1">$K$129-EFEITO!$M$129*EFEITO!$Z$129</f>
        <v>0</v>
      </c>
      <c r="O129" s="56">
        <f>$L$129-EFEITO!$O$129*EFEITO!$AA$129</f>
        <v>0</v>
      </c>
      <c r="P129" s="39"/>
      <c r="Q129" s="39"/>
      <c r="R129" s="39"/>
      <c r="S129" s="39"/>
      <c r="T129" s="39"/>
      <c r="U129" s="39"/>
      <c r="V129" s="39"/>
      <c r="W129" s="39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35" t="s">
        <v>27</v>
      </c>
      <c r="B130" s="35" t="s">
        <v>22</v>
      </c>
      <c r="C130" s="35" t="s">
        <v>23</v>
      </c>
      <c r="D130" s="35" t="s">
        <v>24</v>
      </c>
      <c r="E130" s="35" t="s">
        <v>24</v>
      </c>
      <c r="F130" s="35" t="s">
        <v>25</v>
      </c>
      <c r="G130" s="35" t="s">
        <v>25</v>
      </c>
      <c r="H130" s="35" t="s">
        <v>25</v>
      </c>
      <c r="I130" s="55">
        <v>44652</v>
      </c>
      <c r="J130" s="56">
        <f>EFEITO!$J$130*EFEITO!$Y$130</f>
        <v>0</v>
      </c>
      <c r="K130" s="56">
        <f ca="1">EFEITO!$L$130*EFEITO!$Z$130</f>
        <v>-135.60670588359878</v>
      </c>
      <c r="L130" s="56">
        <f>EFEITO!$N$130*EFEITO!$AA$130</f>
        <v>-39.413097971514617</v>
      </c>
      <c r="M130" s="56">
        <f>$J$130-EFEITO!$K$130*EFEITO!$Y$130</f>
        <v>0</v>
      </c>
      <c r="N130" s="56">
        <f ca="1">$K$130-EFEITO!$M$130*EFEITO!$Z$130</f>
        <v>0</v>
      </c>
      <c r="O130" s="56">
        <f>$L$130-EFEITO!$O$130*EFEITO!$AA$130</f>
        <v>0</v>
      </c>
      <c r="P130" s="39"/>
      <c r="Q130" s="39"/>
      <c r="R130" s="39"/>
      <c r="S130" s="39"/>
      <c r="T130" s="39"/>
      <c r="U130" s="39"/>
      <c r="V130" s="39"/>
      <c r="W130" s="39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35" t="s">
        <v>28</v>
      </c>
      <c r="B131" s="35" t="s">
        <v>22</v>
      </c>
      <c r="C131" s="35" t="s">
        <v>23</v>
      </c>
      <c r="D131" s="35" t="s">
        <v>24</v>
      </c>
      <c r="E131" s="35" t="s">
        <v>24</v>
      </c>
      <c r="F131" s="35" t="s">
        <v>25</v>
      </c>
      <c r="G131" s="35" t="s">
        <v>25</v>
      </c>
      <c r="H131" s="35" t="s">
        <v>25</v>
      </c>
      <c r="I131" s="55">
        <v>44652</v>
      </c>
      <c r="J131" s="56">
        <f>EFEITO!$J$131*EFEITO!$Y$131</f>
        <v>0</v>
      </c>
      <c r="K131" s="56">
        <f ca="1">EFEITO!$L$131*EFEITO!$Z$131</f>
        <v>6033.4389844304296</v>
      </c>
      <c r="L131" s="56">
        <f>EFEITO!$N$131*EFEITO!$AA$131</f>
        <v>1753.5749449044981</v>
      </c>
      <c r="M131" s="56">
        <f>$J$131-EFEITO!$K$131*EFEITO!$Y$131</f>
        <v>0</v>
      </c>
      <c r="N131" s="56">
        <f ca="1">$K$131-EFEITO!$M$131*EFEITO!$Z$131</f>
        <v>0</v>
      </c>
      <c r="O131" s="56">
        <f>$L$131-EFEITO!$O$131*EFEITO!$AA$131</f>
        <v>0</v>
      </c>
      <c r="P131" s="39"/>
      <c r="Q131" s="39"/>
      <c r="R131" s="39"/>
      <c r="S131" s="39"/>
      <c r="T131" s="39"/>
      <c r="U131" s="39"/>
      <c r="V131" s="39"/>
      <c r="W131" s="39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35" t="s">
        <v>21</v>
      </c>
      <c r="B132" s="35" t="s">
        <v>22</v>
      </c>
      <c r="C132" s="35" t="s">
        <v>23</v>
      </c>
      <c r="D132" s="35" t="s">
        <v>24</v>
      </c>
      <c r="E132" s="35" t="s">
        <v>24</v>
      </c>
      <c r="F132" s="35" t="s">
        <v>25</v>
      </c>
      <c r="G132" s="35" t="s">
        <v>25</v>
      </c>
      <c r="H132" s="35" t="s">
        <v>25</v>
      </c>
      <c r="I132" s="55">
        <v>44682</v>
      </c>
      <c r="J132" s="56">
        <f>EFEITO!$J$132*EFEITO!$Y$132</f>
        <v>0</v>
      </c>
      <c r="K132" s="56">
        <f ca="1">EFEITO!$L$132*EFEITO!$Z$132</f>
        <v>394515.39823294425</v>
      </c>
      <c r="L132" s="56">
        <f>EFEITO!$N$132*EFEITO!$AA$132</f>
        <v>114663.01714587075</v>
      </c>
      <c r="M132" s="56">
        <f>$J$132-EFEITO!$K$132*EFEITO!$Y$132</f>
        <v>0</v>
      </c>
      <c r="N132" s="56">
        <f ca="1">$K$132-EFEITO!$M$132*EFEITO!$Z$132</f>
        <v>0</v>
      </c>
      <c r="O132" s="56">
        <f>$L$132-EFEITO!$O$132*EFEITO!$AA$132</f>
        <v>0</v>
      </c>
      <c r="P132" s="39"/>
      <c r="Q132" s="39"/>
      <c r="R132" s="39"/>
      <c r="S132" s="39"/>
      <c r="T132" s="39"/>
      <c r="U132" s="39"/>
      <c r="V132" s="39"/>
      <c r="W132" s="39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35" t="s">
        <v>27</v>
      </c>
      <c r="B133" s="35" t="s">
        <v>22</v>
      </c>
      <c r="C133" s="35" t="s">
        <v>23</v>
      </c>
      <c r="D133" s="35" t="s">
        <v>24</v>
      </c>
      <c r="E133" s="35" t="s">
        <v>24</v>
      </c>
      <c r="F133" s="35" t="s">
        <v>25</v>
      </c>
      <c r="G133" s="35" t="s">
        <v>25</v>
      </c>
      <c r="H133" s="35" t="s">
        <v>25</v>
      </c>
      <c r="I133" s="55">
        <v>44682</v>
      </c>
      <c r="J133" s="56">
        <f>EFEITO!$J$133*EFEITO!$Y$133</f>
        <v>0</v>
      </c>
      <c r="K133" s="56">
        <f ca="1">EFEITO!$L$133*EFEITO!$Z$133</f>
        <v>-155.20611259333765</v>
      </c>
      <c r="L133" s="56">
        <f>EFEITO!$N$133*EFEITO!$AA$133</f>
        <v>-45.109522287710085</v>
      </c>
      <c r="M133" s="56">
        <f>$J$133-EFEITO!$K$133*EFEITO!$Y$133</f>
        <v>0</v>
      </c>
      <c r="N133" s="56">
        <f ca="1">$K$133-EFEITO!$M$133*EFEITO!$Z$133</f>
        <v>0</v>
      </c>
      <c r="O133" s="56">
        <f>$L$133-EFEITO!$O$133*EFEITO!$AA$133</f>
        <v>0</v>
      </c>
      <c r="P133" s="39"/>
      <c r="Q133" s="39"/>
      <c r="R133" s="39"/>
      <c r="S133" s="39"/>
      <c r="T133" s="39"/>
      <c r="U133" s="39"/>
      <c r="V133" s="39"/>
      <c r="W133" s="39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35" t="s">
        <v>28</v>
      </c>
      <c r="B134" s="35" t="s">
        <v>22</v>
      </c>
      <c r="C134" s="35" t="s">
        <v>23</v>
      </c>
      <c r="D134" s="35" t="s">
        <v>24</v>
      </c>
      <c r="E134" s="35" t="s">
        <v>24</v>
      </c>
      <c r="F134" s="35" t="s">
        <v>25</v>
      </c>
      <c r="G134" s="35" t="s">
        <v>25</v>
      </c>
      <c r="H134" s="35" t="s">
        <v>25</v>
      </c>
      <c r="I134" s="55">
        <v>44682</v>
      </c>
      <c r="J134" s="56">
        <f>EFEITO!$J$134*EFEITO!$Y$134</f>
        <v>0</v>
      </c>
      <c r="K134" s="56">
        <f ca="1">EFEITO!$L$134*EFEITO!$Z$134</f>
        <v>6786.691858518232</v>
      </c>
      <c r="L134" s="56">
        <f>EFEITO!$N$134*EFEITO!$AA$134</f>
        <v>1972.5023875431455</v>
      </c>
      <c r="M134" s="56">
        <f>$J$134-EFEITO!$K$134*EFEITO!$Y$134</f>
        <v>0</v>
      </c>
      <c r="N134" s="56">
        <f ca="1">$K$134-EFEITO!$M$134*EFEITO!$Z$134</f>
        <v>0</v>
      </c>
      <c r="O134" s="56">
        <f>$L$134-EFEITO!$O$134*EFEITO!$AA$134</f>
        <v>0</v>
      </c>
      <c r="P134" s="39"/>
      <c r="Q134" s="39"/>
      <c r="R134" s="39"/>
      <c r="S134" s="39"/>
      <c r="T134" s="39"/>
      <c r="U134" s="39"/>
      <c r="V134" s="39"/>
      <c r="W134" s="39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35" t="s">
        <v>21</v>
      </c>
      <c r="B135" s="35" t="s">
        <v>22</v>
      </c>
      <c r="C135" s="35" t="s">
        <v>23</v>
      </c>
      <c r="D135" s="35" t="s">
        <v>24</v>
      </c>
      <c r="E135" s="35" t="s">
        <v>24</v>
      </c>
      <c r="F135" s="35" t="s">
        <v>25</v>
      </c>
      <c r="G135" s="35" t="s">
        <v>25</v>
      </c>
      <c r="H135" s="35" t="s">
        <v>25</v>
      </c>
      <c r="I135" s="55">
        <v>44713</v>
      </c>
      <c r="J135" s="56">
        <f>EFEITO!$J$135*EFEITO!$Y$135</f>
        <v>0</v>
      </c>
      <c r="K135" s="56">
        <f ca="1">EFEITO!$L$135*EFEITO!$Z$135</f>
        <v>442382.97626877006</v>
      </c>
      <c r="L135" s="56">
        <f>EFEITO!$N$135*EFEITO!$AA$135</f>
        <v>128575.37885757355</v>
      </c>
      <c r="M135" s="56">
        <f>$J$135-EFEITO!$K$135*EFEITO!$Y$135</f>
        <v>0</v>
      </c>
      <c r="N135" s="56">
        <f ca="1">$K$135-EFEITO!$M$135*EFEITO!$Z$135</f>
        <v>0</v>
      </c>
      <c r="O135" s="56">
        <f>$L$135-EFEITO!$O$135*EFEITO!$AA$135</f>
        <v>0</v>
      </c>
      <c r="P135" s="39"/>
      <c r="Q135" s="39"/>
      <c r="R135" s="39"/>
      <c r="S135" s="39"/>
      <c r="T135" s="39"/>
      <c r="U135" s="39"/>
      <c r="V135" s="39"/>
      <c r="W135" s="39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35" t="s">
        <v>27</v>
      </c>
      <c r="B136" s="35" t="s">
        <v>22</v>
      </c>
      <c r="C136" s="35" t="s">
        <v>23</v>
      </c>
      <c r="D136" s="35" t="s">
        <v>24</v>
      </c>
      <c r="E136" s="35" t="s">
        <v>24</v>
      </c>
      <c r="F136" s="35" t="s">
        <v>25</v>
      </c>
      <c r="G136" s="35" t="s">
        <v>25</v>
      </c>
      <c r="H136" s="35" t="s">
        <v>25</v>
      </c>
      <c r="I136" s="55">
        <v>44713</v>
      </c>
      <c r="J136" s="56">
        <f>EFEITO!$J$136*EFEITO!$Y$136</f>
        <v>0</v>
      </c>
      <c r="K136" s="56">
        <f ca="1">EFEITO!$L$136*EFEITO!$Z$136</f>
        <v>-264.32713373404601</v>
      </c>
      <c r="L136" s="56">
        <f>EFEITO!$N$136*EFEITO!$AA$136</f>
        <v>-76.824749561663253</v>
      </c>
      <c r="M136" s="56">
        <f>$J$136-EFEITO!$K$136*EFEITO!$Y$136</f>
        <v>0</v>
      </c>
      <c r="N136" s="56">
        <f ca="1">$K$136-EFEITO!$M$136*EFEITO!$Z$136</f>
        <v>0</v>
      </c>
      <c r="O136" s="56">
        <f>$L$136-EFEITO!$O$136*EFEITO!$AA$136</f>
        <v>0</v>
      </c>
      <c r="P136" s="39"/>
      <c r="Q136" s="39"/>
      <c r="R136" s="39"/>
      <c r="S136" s="39"/>
      <c r="T136" s="39"/>
      <c r="U136" s="39"/>
      <c r="V136" s="39"/>
      <c r="W136" s="39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35" t="s">
        <v>28</v>
      </c>
      <c r="B137" s="35" t="s">
        <v>22</v>
      </c>
      <c r="C137" s="35" t="s">
        <v>23</v>
      </c>
      <c r="D137" s="35" t="s">
        <v>24</v>
      </c>
      <c r="E137" s="35" t="s">
        <v>24</v>
      </c>
      <c r="F137" s="35" t="s">
        <v>25</v>
      </c>
      <c r="G137" s="35" t="s">
        <v>25</v>
      </c>
      <c r="H137" s="35" t="s">
        <v>25</v>
      </c>
      <c r="I137" s="55">
        <v>44713</v>
      </c>
      <c r="J137" s="56">
        <f>EFEITO!$J$137*EFEITO!$Y$137</f>
        <v>0</v>
      </c>
      <c r="K137" s="56">
        <f ca="1">EFEITO!$L$137*EFEITO!$Z$137</f>
        <v>11536.104846613336</v>
      </c>
      <c r="L137" s="56">
        <f>EFEITO!$N$137*EFEITO!$AA$137</f>
        <v>3352.8845610298645</v>
      </c>
      <c r="M137" s="56">
        <f>$J$137-EFEITO!$K$137*EFEITO!$Y$137</f>
        <v>0</v>
      </c>
      <c r="N137" s="56">
        <f ca="1">$K$137-EFEITO!$M$137*EFEITO!$Z$137</f>
        <v>0</v>
      </c>
      <c r="O137" s="56">
        <f>$L$137-EFEITO!$O$137*EFEITO!$AA$137</f>
        <v>0</v>
      </c>
      <c r="P137" s="39"/>
      <c r="Q137" s="39"/>
      <c r="R137" s="39"/>
      <c r="S137" s="39"/>
      <c r="T137" s="39"/>
      <c r="U137" s="39"/>
      <c r="V137" s="39"/>
      <c r="W137" s="39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35" t="s">
        <v>21</v>
      </c>
      <c r="B138" s="35" t="s">
        <v>22</v>
      </c>
      <c r="C138" s="35" t="s">
        <v>23</v>
      </c>
      <c r="D138" s="35" t="s">
        <v>24</v>
      </c>
      <c r="E138" s="35" t="s">
        <v>24</v>
      </c>
      <c r="F138" s="35" t="s">
        <v>25</v>
      </c>
      <c r="G138" s="35" t="s">
        <v>25</v>
      </c>
      <c r="H138" s="35" t="s">
        <v>25</v>
      </c>
      <c r="I138" s="55">
        <v>44743</v>
      </c>
      <c r="J138" s="56">
        <f>EFEITO!$J$138*EFEITO!$Y$138</f>
        <v>0</v>
      </c>
      <c r="K138" s="56">
        <f ca="1">EFEITO!$L$138*EFEITO!$Z$138</f>
        <v>378320.4614400565</v>
      </c>
      <c r="L138" s="56">
        <f>EFEITO!$N$138*EFEITO!$AA$138</f>
        <v>109956.07712913983</v>
      </c>
      <c r="M138" s="56">
        <f>$J$138-EFEITO!$K$138*EFEITO!$Y$138</f>
        <v>0</v>
      </c>
      <c r="N138" s="56">
        <f ca="1">$K$138-EFEITO!$M$138*EFEITO!$Z$138</f>
        <v>0</v>
      </c>
      <c r="O138" s="56">
        <f>$L$138-EFEITO!$O$138*EFEITO!$AA$138</f>
        <v>0</v>
      </c>
      <c r="P138" s="39"/>
      <c r="Q138" s="39"/>
      <c r="R138" s="39"/>
      <c r="S138" s="39"/>
      <c r="T138" s="39"/>
      <c r="U138" s="39"/>
      <c r="V138" s="39"/>
      <c r="W138" s="39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35" t="s">
        <v>28</v>
      </c>
      <c r="B139" s="35" t="s">
        <v>22</v>
      </c>
      <c r="C139" s="35" t="s">
        <v>23</v>
      </c>
      <c r="D139" s="35" t="s">
        <v>24</v>
      </c>
      <c r="E139" s="35" t="s">
        <v>24</v>
      </c>
      <c r="F139" s="35" t="s">
        <v>25</v>
      </c>
      <c r="G139" s="35" t="s">
        <v>25</v>
      </c>
      <c r="H139" s="35" t="s">
        <v>25</v>
      </c>
      <c r="I139" s="55">
        <v>44743</v>
      </c>
      <c r="J139" s="56">
        <f>EFEITO!$J$139*EFEITO!$Y$139</f>
        <v>0</v>
      </c>
      <c r="K139" s="56">
        <f ca="1">EFEITO!$L$139*EFEITO!$Z$139</f>
        <v>8417.1506112905645</v>
      </c>
      <c r="L139" s="56">
        <f>EFEITO!$N$139*EFEITO!$AA$139</f>
        <v>2446.3833076850283</v>
      </c>
      <c r="M139" s="56">
        <f>$J$139-EFEITO!$K$139*EFEITO!$Y$139</f>
        <v>0</v>
      </c>
      <c r="N139" s="56">
        <f ca="1">$K$139-EFEITO!$M$139*EFEITO!$Z$139</f>
        <v>0</v>
      </c>
      <c r="O139" s="56">
        <f>$L$139-EFEITO!$O$139*EFEITO!$AA$139</f>
        <v>0</v>
      </c>
      <c r="P139" s="39"/>
      <c r="Q139" s="39"/>
      <c r="R139" s="39"/>
      <c r="S139" s="39"/>
      <c r="T139" s="39"/>
      <c r="U139" s="39"/>
      <c r="V139" s="39"/>
      <c r="W139" s="39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35" t="s">
        <v>21</v>
      </c>
      <c r="B140" s="35" t="s">
        <v>22</v>
      </c>
      <c r="C140" s="35" t="s">
        <v>23</v>
      </c>
      <c r="D140" s="35" t="s">
        <v>24</v>
      </c>
      <c r="E140" s="35" t="s">
        <v>24</v>
      </c>
      <c r="F140" s="35" t="s">
        <v>25</v>
      </c>
      <c r="G140" s="35" t="s">
        <v>25</v>
      </c>
      <c r="H140" s="35" t="s">
        <v>25</v>
      </c>
      <c r="I140" s="55">
        <v>44774</v>
      </c>
      <c r="J140" s="56">
        <f>EFEITO!$J$140*EFEITO!$Y$140</f>
        <v>0</v>
      </c>
      <c r="K140" s="56">
        <f ca="1">EFEITO!$L$140*EFEITO!$Z$140</f>
        <v>420581.5497295073</v>
      </c>
      <c r="L140" s="56">
        <f>EFEITO!$N$140*EFEITO!$AA$140</f>
        <v>122238.95357158284</v>
      </c>
      <c r="M140" s="56">
        <f>$J$140-EFEITO!$K$140*EFEITO!$Y$140</f>
        <v>0</v>
      </c>
      <c r="N140" s="56">
        <f ca="1">$K$140-EFEITO!$M$140*EFEITO!$Z$140</f>
        <v>0</v>
      </c>
      <c r="O140" s="56">
        <f>$L$140-EFEITO!$O$140*EFEITO!$AA$140</f>
        <v>0</v>
      </c>
      <c r="P140" s="39"/>
      <c r="Q140" s="39"/>
      <c r="R140" s="39"/>
      <c r="S140" s="39"/>
      <c r="T140" s="39"/>
      <c r="U140" s="39"/>
      <c r="V140" s="39"/>
      <c r="W140" s="39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35" t="s">
        <v>28</v>
      </c>
      <c r="B141" s="35" t="s">
        <v>22</v>
      </c>
      <c r="C141" s="35" t="s">
        <v>23</v>
      </c>
      <c r="D141" s="35" t="s">
        <v>24</v>
      </c>
      <c r="E141" s="35" t="s">
        <v>24</v>
      </c>
      <c r="F141" s="35" t="s">
        <v>25</v>
      </c>
      <c r="G141" s="35" t="s">
        <v>25</v>
      </c>
      <c r="H141" s="35" t="s">
        <v>25</v>
      </c>
      <c r="I141" s="55">
        <v>44774</v>
      </c>
      <c r="J141" s="56">
        <f>EFEITO!$J$141*EFEITO!$Y$141</f>
        <v>0</v>
      </c>
      <c r="K141" s="56">
        <f ca="1">EFEITO!$L$141*EFEITO!$Z$141</f>
        <v>8228.0428222263272</v>
      </c>
      <c r="L141" s="56">
        <f>EFEITO!$N$141*EFEITO!$AA$141</f>
        <v>2391.4205109044397</v>
      </c>
      <c r="M141" s="56">
        <f>$J$141-EFEITO!$K$141*EFEITO!$Y$141</f>
        <v>0</v>
      </c>
      <c r="N141" s="56">
        <f ca="1">$K$141-EFEITO!$M$141*EFEITO!$Z$141</f>
        <v>0</v>
      </c>
      <c r="O141" s="56">
        <f>$L$141-EFEITO!$O$141*EFEITO!$AA$141</f>
        <v>0</v>
      </c>
      <c r="P141" s="39"/>
      <c r="Q141" s="39"/>
      <c r="R141" s="39"/>
      <c r="S141" s="39"/>
      <c r="T141" s="39"/>
      <c r="U141" s="39"/>
      <c r="V141" s="39"/>
      <c r="W141" s="39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35" t="s">
        <v>21</v>
      </c>
      <c r="B142" s="35" t="s">
        <v>22</v>
      </c>
      <c r="C142" s="35" t="s">
        <v>23</v>
      </c>
      <c r="D142" s="35" t="s">
        <v>24</v>
      </c>
      <c r="E142" s="35" t="s">
        <v>29</v>
      </c>
      <c r="F142" s="35" t="s">
        <v>25</v>
      </c>
      <c r="G142" s="35" t="s">
        <v>25</v>
      </c>
      <c r="H142" s="35" t="s">
        <v>25</v>
      </c>
      <c r="I142" s="55">
        <v>44440</v>
      </c>
      <c r="J142" s="56">
        <f>EFEITO!$J$142*EFEITO!$Y$110</f>
        <v>0</v>
      </c>
      <c r="K142" s="56">
        <f ca="1">EFEITO!$L$142*EFEITO!$Z$178</f>
        <v>2501.3309232918023</v>
      </c>
      <c r="L142" s="56">
        <f>EFEITO!$N$142*EFEITO!$AA$178</f>
        <v>909.88831645176322</v>
      </c>
      <c r="M142" s="56">
        <f>$J$142-EFEITO!$K$142*EFEITO!$Y$142</f>
        <v>0</v>
      </c>
      <c r="N142" s="56">
        <f ca="1">$K$142-EFEITO!$M$142*EFEITO!$Z$142</f>
        <v>1625.8651001396715</v>
      </c>
      <c r="O142" s="56">
        <f>$L$142-EFEITO!$O$142*EFEITO!$AA$142</f>
        <v>591.42740569364605</v>
      </c>
      <c r="P142" s="39"/>
      <c r="Q142" s="39"/>
      <c r="R142" s="39"/>
      <c r="S142" s="39"/>
      <c r="T142" s="39"/>
      <c r="U142" s="39"/>
      <c r="V142" s="39"/>
      <c r="W142" s="39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35" t="s">
        <v>21</v>
      </c>
      <c r="B143" s="35" t="s">
        <v>22</v>
      </c>
      <c r="C143" s="35" t="s">
        <v>23</v>
      </c>
      <c r="D143" s="35" t="s">
        <v>24</v>
      </c>
      <c r="E143" s="35" t="s">
        <v>29</v>
      </c>
      <c r="F143" s="35" t="s">
        <v>25</v>
      </c>
      <c r="G143" s="35" t="s">
        <v>25</v>
      </c>
      <c r="H143" s="35" t="s">
        <v>25</v>
      </c>
      <c r="I143" s="55">
        <v>44470</v>
      </c>
      <c r="J143" s="56">
        <f>EFEITO!$J$143*EFEITO!$Y$110</f>
        <v>0</v>
      </c>
      <c r="K143" s="56">
        <f ca="1">EFEITO!$L$143*EFEITO!$Z$178</f>
        <v>2526.7251458632927</v>
      </c>
      <c r="L143" s="56">
        <f>EFEITO!$N$143*EFEITO!$AA$178</f>
        <v>919.12576128883688</v>
      </c>
      <c r="M143" s="56">
        <f>$J$143-EFEITO!$K$143*EFEITO!$Y$143</f>
        <v>0</v>
      </c>
      <c r="N143" s="56">
        <f ca="1">$K$143-EFEITO!$M$143*EFEITO!$Z$143</f>
        <v>1642.3713448111403</v>
      </c>
      <c r="O143" s="56">
        <f>$L$143-EFEITO!$O$143*EFEITO!$AA$143</f>
        <v>597.43174483774396</v>
      </c>
      <c r="P143" s="39"/>
      <c r="Q143" s="39"/>
      <c r="R143" s="39"/>
      <c r="S143" s="39"/>
      <c r="T143" s="39"/>
      <c r="U143" s="39"/>
      <c r="V143" s="39"/>
      <c r="W143" s="39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35" t="s">
        <v>21</v>
      </c>
      <c r="B144" s="35" t="s">
        <v>22</v>
      </c>
      <c r="C144" s="35" t="s">
        <v>23</v>
      </c>
      <c r="D144" s="35" t="s">
        <v>24</v>
      </c>
      <c r="E144" s="35" t="s">
        <v>29</v>
      </c>
      <c r="F144" s="35" t="s">
        <v>25</v>
      </c>
      <c r="G144" s="35" t="s">
        <v>25</v>
      </c>
      <c r="H144" s="35" t="s">
        <v>25</v>
      </c>
      <c r="I144" s="55">
        <v>44501</v>
      </c>
      <c r="J144" s="56">
        <f>EFEITO!$J$144*EFEITO!$Y$110</f>
        <v>0</v>
      </c>
      <c r="K144" s="56">
        <f ca="1">EFEITO!$L$144*EFEITO!$Z$178</f>
        <v>2526.7251458632927</v>
      </c>
      <c r="L144" s="56">
        <f>EFEITO!$N$144*EFEITO!$AA$178</f>
        <v>919.12576128883688</v>
      </c>
      <c r="M144" s="56">
        <f>$J$144-EFEITO!$K$144*EFEITO!$Y$144</f>
        <v>0</v>
      </c>
      <c r="N144" s="56">
        <f ca="1">$K$144-EFEITO!$M$144*EFEITO!$Z$144</f>
        <v>1642.3713448111403</v>
      </c>
      <c r="O144" s="56">
        <f>$L$144-EFEITO!$O$144*EFEITO!$AA$144</f>
        <v>597.43174483774396</v>
      </c>
      <c r="P144" s="39"/>
      <c r="Q144" s="39"/>
      <c r="R144" s="39"/>
      <c r="S144" s="39"/>
      <c r="T144" s="39"/>
      <c r="U144" s="39"/>
      <c r="V144" s="39"/>
      <c r="W144" s="39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35" t="s">
        <v>21</v>
      </c>
      <c r="B145" s="35" t="s">
        <v>22</v>
      </c>
      <c r="C145" s="35" t="s">
        <v>23</v>
      </c>
      <c r="D145" s="35" t="s">
        <v>24</v>
      </c>
      <c r="E145" s="35" t="s">
        <v>29</v>
      </c>
      <c r="F145" s="35" t="s">
        <v>25</v>
      </c>
      <c r="G145" s="35" t="s">
        <v>25</v>
      </c>
      <c r="H145" s="35" t="s">
        <v>25</v>
      </c>
      <c r="I145" s="55">
        <v>44531</v>
      </c>
      <c r="J145" s="56">
        <f>EFEITO!$J$145*EFEITO!$Y$110</f>
        <v>0</v>
      </c>
      <c r="K145" s="56">
        <f ca="1">EFEITO!$L$145*EFEITO!$Z$178</f>
        <v>2666.3933700064895</v>
      </c>
      <c r="L145" s="56">
        <f>EFEITO!$N$145*EFEITO!$AA$178</f>
        <v>969.93170789274245</v>
      </c>
      <c r="M145" s="56">
        <f>$J$145-EFEITO!$K$145*EFEITO!$Y$145</f>
        <v>0</v>
      </c>
      <c r="N145" s="56">
        <f ca="1">$K$145-EFEITO!$M$145*EFEITO!$Z$145</f>
        <v>1733.155690504218</v>
      </c>
      <c r="O145" s="56">
        <f>$L$145-EFEITO!$O$145*EFEITO!$AA$145</f>
        <v>630.45561013028259</v>
      </c>
      <c r="P145" s="39"/>
      <c r="Q145" s="39"/>
      <c r="R145" s="39"/>
      <c r="S145" s="39"/>
      <c r="T145" s="39"/>
      <c r="U145" s="39"/>
      <c r="V145" s="39"/>
      <c r="W145" s="39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35" t="s">
        <v>21</v>
      </c>
      <c r="B146" s="35" t="s">
        <v>22</v>
      </c>
      <c r="C146" s="35" t="s">
        <v>23</v>
      </c>
      <c r="D146" s="35" t="s">
        <v>24</v>
      </c>
      <c r="E146" s="35" t="s">
        <v>29</v>
      </c>
      <c r="F146" s="35" t="s">
        <v>25</v>
      </c>
      <c r="G146" s="35" t="s">
        <v>25</v>
      </c>
      <c r="H146" s="35" t="s">
        <v>25</v>
      </c>
      <c r="I146" s="55">
        <v>44562</v>
      </c>
      <c r="J146" s="56">
        <f>EFEITO!$J$146*EFEITO!$Y$110</f>
        <v>0</v>
      </c>
      <c r="K146" s="56">
        <f ca="1">EFEITO!$L$146*EFEITO!$Z$178</f>
        <v>2704.4847038637249</v>
      </c>
      <c r="L146" s="56">
        <f>EFEITO!$N$146*EFEITO!$AA$178</f>
        <v>983.78787514835312</v>
      </c>
      <c r="M146" s="56">
        <f>$J$146-EFEITO!$K$146*EFEITO!$Y$146</f>
        <v>0</v>
      </c>
      <c r="N146" s="56">
        <f ca="1">$K$146-EFEITO!$M$146*EFEITO!$Z$146</f>
        <v>1757.9150575114211</v>
      </c>
      <c r="O146" s="56">
        <f>$L$146-EFEITO!$O$146*EFEITO!$AA$146</f>
        <v>639.46211884642958</v>
      </c>
      <c r="P146" s="39"/>
      <c r="Q146" s="39"/>
      <c r="R146" s="39"/>
      <c r="S146" s="39"/>
      <c r="T146" s="39"/>
      <c r="U146" s="39"/>
      <c r="V146" s="39"/>
      <c r="W146" s="39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35" t="s">
        <v>21</v>
      </c>
      <c r="B147" s="35" t="s">
        <v>22</v>
      </c>
      <c r="C147" s="35" t="s">
        <v>23</v>
      </c>
      <c r="D147" s="35" t="s">
        <v>24</v>
      </c>
      <c r="E147" s="35" t="s">
        <v>29</v>
      </c>
      <c r="F147" s="35" t="s">
        <v>25</v>
      </c>
      <c r="G147" s="35" t="s">
        <v>25</v>
      </c>
      <c r="H147" s="35" t="s">
        <v>25</v>
      </c>
      <c r="I147" s="55">
        <v>44593</v>
      </c>
      <c r="J147" s="56">
        <f>EFEITO!$J$147*EFEITO!$Y$110</f>
        <v>0</v>
      </c>
      <c r="K147" s="56">
        <f ca="1">EFEITO!$L$147*EFEITO!$Z$178</f>
        <v>5154.6039449696891</v>
      </c>
      <c r="L147" s="56">
        <f>EFEITO!$N$147*EFEITO!$AA$178</f>
        <v>1875.0473445120176</v>
      </c>
      <c r="M147" s="56">
        <f>$J$147-EFEITO!$K$147*EFEITO!$Y$147</f>
        <v>0</v>
      </c>
      <c r="N147" s="56">
        <f ca="1">$K$147-EFEITO!$M$147*EFEITO!$Z$147</f>
        <v>3350.4925642302978</v>
      </c>
      <c r="O147" s="56">
        <f>$L$147-EFEITO!$O$147*EFEITO!$AA$147</f>
        <v>1218.7807739328114</v>
      </c>
      <c r="P147" s="39"/>
      <c r="Q147" s="39"/>
      <c r="R147" s="39"/>
      <c r="S147" s="39"/>
      <c r="T147" s="39"/>
      <c r="U147" s="39"/>
      <c r="V147" s="39"/>
      <c r="W147" s="39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35" t="s">
        <v>21</v>
      </c>
      <c r="B148" s="35" t="s">
        <v>22</v>
      </c>
      <c r="C148" s="35" t="s">
        <v>23</v>
      </c>
      <c r="D148" s="35" t="s">
        <v>24</v>
      </c>
      <c r="E148" s="35" t="s">
        <v>29</v>
      </c>
      <c r="F148" s="35" t="s">
        <v>25</v>
      </c>
      <c r="G148" s="35" t="s">
        <v>25</v>
      </c>
      <c r="H148" s="35" t="s">
        <v>25</v>
      </c>
      <c r="I148" s="55">
        <v>44621</v>
      </c>
      <c r="J148" s="56">
        <f>EFEITO!$J$148*EFEITO!$Y$110</f>
        <v>0</v>
      </c>
      <c r="K148" s="56">
        <f ca="1">EFEITO!$L$148*EFEITO!$Z$178</f>
        <v>5524.5131204277322</v>
      </c>
      <c r="L148" s="56">
        <f>EFEITO!$N$148*EFEITO!$AA$178</f>
        <v>2009.6061243053919</v>
      </c>
      <c r="M148" s="56">
        <f>$J$148-EFEITO!$K$148*EFEITO!$Y$148</f>
        <v>0</v>
      </c>
      <c r="N148" s="56">
        <f ca="1">$K$148-EFEITO!$M$148*EFEITO!$Z$148</f>
        <v>3590.9335282780257</v>
      </c>
      <c r="O148" s="56">
        <f>$L$148-EFEITO!$O$148*EFEITO!$AA$148</f>
        <v>1306.2439807985047</v>
      </c>
      <c r="P148" s="39"/>
      <c r="Q148" s="39"/>
      <c r="R148" s="39"/>
      <c r="S148" s="39"/>
      <c r="T148" s="39"/>
      <c r="U148" s="39"/>
      <c r="V148" s="39"/>
      <c r="W148" s="39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35" t="s">
        <v>21</v>
      </c>
      <c r="B149" s="35" t="s">
        <v>22</v>
      </c>
      <c r="C149" s="35" t="s">
        <v>23</v>
      </c>
      <c r="D149" s="35" t="s">
        <v>24</v>
      </c>
      <c r="E149" s="35" t="s">
        <v>29</v>
      </c>
      <c r="F149" s="35" t="s">
        <v>25</v>
      </c>
      <c r="G149" s="35" t="s">
        <v>25</v>
      </c>
      <c r="H149" s="35" t="s">
        <v>25</v>
      </c>
      <c r="I149" s="55">
        <v>44652</v>
      </c>
      <c r="J149" s="56">
        <f>EFEITO!$J$149*EFEITO!$Y$110</f>
        <v>0</v>
      </c>
      <c r="K149" s="56">
        <f ca="1">EFEITO!$L$149*EFEITO!$Z$178</f>
        <v>5561.3347431563934</v>
      </c>
      <c r="L149" s="56">
        <f>EFEITO!$N$149*EFEITO!$AA$178</f>
        <v>2023.0004193191487</v>
      </c>
      <c r="M149" s="56">
        <f>$J$149-EFEITO!$K$149*EFEITO!$Y$149</f>
        <v>0</v>
      </c>
      <c r="N149" s="56">
        <f ca="1">$K$149-EFEITO!$M$149*EFEITO!$Z$149</f>
        <v>3614.8675830516559</v>
      </c>
      <c r="O149" s="56">
        <f>$L$149-EFEITO!$O$149*EFEITO!$AA$149</f>
        <v>1314.9502725574466</v>
      </c>
      <c r="P149" s="39"/>
      <c r="Q149" s="39"/>
      <c r="R149" s="39"/>
      <c r="S149" s="39"/>
      <c r="T149" s="39"/>
      <c r="U149" s="39"/>
      <c r="V149" s="39"/>
      <c r="W149" s="39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35" t="s">
        <v>21</v>
      </c>
      <c r="B150" s="35" t="s">
        <v>22</v>
      </c>
      <c r="C150" s="35" t="s">
        <v>23</v>
      </c>
      <c r="D150" s="35" t="s">
        <v>24</v>
      </c>
      <c r="E150" s="35" t="s">
        <v>29</v>
      </c>
      <c r="F150" s="35" t="s">
        <v>25</v>
      </c>
      <c r="G150" s="35" t="s">
        <v>25</v>
      </c>
      <c r="H150" s="35" t="s">
        <v>25</v>
      </c>
      <c r="I150" s="55">
        <v>44682</v>
      </c>
      <c r="J150" s="56">
        <f>EFEITO!$J$150*EFEITO!$Y$110</f>
        <v>0</v>
      </c>
      <c r="K150" s="56">
        <f ca="1">EFEITO!$L$150*EFEITO!$Z$178</f>
        <v>5269.3011835842535</v>
      </c>
      <c r="L150" s="56">
        <f>EFEITO!$N$150*EFEITO!$AA$178</f>
        <v>1916.7698036928007</v>
      </c>
      <c r="M150" s="56">
        <f>$J$150-EFEITO!$K$150*EFEITO!$Y$150</f>
        <v>0</v>
      </c>
      <c r="N150" s="56">
        <f ca="1">$K$150-EFEITO!$M$150*EFEITO!$Z$150</f>
        <v>3425.0457693297649</v>
      </c>
      <c r="O150" s="56">
        <f>$L$150-EFEITO!$O$150*EFEITO!$AA$150</f>
        <v>1245.9003724003205</v>
      </c>
      <c r="P150" s="39"/>
      <c r="Q150" s="39"/>
      <c r="R150" s="39"/>
      <c r="S150" s="39"/>
      <c r="T150" s="39"/>
      <c r="U150" s="39"/>
      <c r="V150" s="39"/>
      <c r="W150" s="39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35" t="s">
        <v>21</v>
      </c>
      <c r="B151" s="35" t="s">
        <v>22</v>
      </c>
      <c r="C151" s="35" t="s">
        <v>23</v>
      </c>
      <c r="D151" s="35" t="s">
        <v>24</v>
      </c>
      <c r="E151" s="35" t="s">
        <v>29</v>
      </c>
      <c r="F151" s="35" t="s">
        <v>25</v>
      </c>
      <c r="G151" s="35" t="s">
        <v>25</v>
      </c>
      <c r="H151" s="35" t="s">
        <v>25</v>
      </c>
      <c r="I151" s="55">
        <v>44713</v>
      </c>
      <c r="J151" s="56">
        <f>EFEITO!$J$151*EFEITO!$Y$110</f>
        <v>0</v>
      </c>
      <c r="K151" s="56">
        <f ca="1">EFEITO!$L$151*EFEITO!$Z$178</f>
        <v>4507.474506439542</v>
      </c>
      <c r="L151" s="56">
        <f>EFEITO!$N$151*EFEITO!$AA$178</f>
        <v>1639.6464585805886</v>
      </c>
      <c r="M151" s="56">
        <f>$J$151-EFEITO!$K$151*EFEITO!$Y$151</f>
        <v>0</v>
      </c>
      <c r="N151" s="56">
        <f ca="1">$K$151-EFEITO!$M$151*EFEITO!$Z$151</f>
        <v>2929.8584291857023</v>
      </c>
      <c r="O151" s="56">
        <f>$L$151-EFEITO!$O$151*EFEITO!$AA$151</f>
        <v>1065.7701980773827</v>
      </c>
      <c r="P151" s="39"/>
      <c r="Q151" s="39"/>
      <c r="R151" s="39"/>
      <c r="S151" s="39"/>
      <c r="T151" s="39"/>
      <c r="U151" s="39"/>
      <c r="V151" s="39"/>
      <c r="W151" s="39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35" t="s">
        <v>21</v>
      </c>
      <c r="B152" s="35" t="s">
        <v>22</v>
      </c>
      <c r="C152" s="35" t="s">
        <v>23</v>
      </c>
      <c r="D152" s="35" t="s">
        <v>24</v>
      </c>
      <c r="E152" s="35" t="s">
        <v>29</v>
      </c>
      <c r="F152" s="35" t="s">
        <v>25</v>
      </c>
      <c r="G152" s="35" t="s">
        <v>25</v>
      </c>
      <c r="H152" s="35" t="s">
        <v>25</v>
      </c>
      <c r="I152" s="55">
        <v>44743</v>
      </c>
      <c r="J152" s="56">
        <f>EFEITO!$J$152*EFEITO!$Y$110</f>
        <v>0</v>
      </c>
      <c r="K152" s="56">
        <f ca="1">EFEITO!$L$152*EFEITO!$Z$178</f>
        <v>4012.2871662954799</v>
      </c>
      <c r="L152" s="56">
        <f>EFEITO!$N$152*EFEITO!$AA$178</f>
        <v>1459.5162842576508</v>
      </c>
      <c r="M152" s="56">
        <f>$J$152-EFEITO!$K$152*EFEITO!$Y$152</f>
        <v>0</v>
      </c>
      <c r="N152" s="56">
        <f ca="1">$K$152-EFEITO!$M$152*EFEITO!$Z$152</f>
        <v>2607.9866580920616</v>
      </c>
      <c r="O152" s="56">
        <f>$L$152-EFEITO!$O$152*EFEITO!$AA$152</f>
        <v>948.68558476747307</v>
      </c>
      <c r="P152" s="39"/>
      <c r="Q152" s="39"/>
      <c r="R152" s="39"/>
      <c r="S152" s="39"/>
      <c r="T152" s="39"/>
      <c r="U152" s="39"/>
      <c r="V152" s="39"/>
      <c r="W152" s="39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35" t="s">
        <v>21</v>
      </c>
      <c r="B153" s="35" t="s">
        <v>22</v>
      </c>
      <c r="C153" s="35" t="s">
        <v>23</v>
      </c>
      <c r="D153" s="35" t="s">
        <v>24</v>
      </c>
      <c r="E153" s="35" t="s">
        <v>29</v>
      </c>
      <c r="F153" s="35" t="s">
        <v>25</v>
      </c>
      <c r="G153" s="35" t="s">
        <v>25</v>
      </c>
      <c r="H153" s="35" t="s">
        <v>25</v>
      </c>
      <c r="I153" s="55">
        <v>44774</v>
      </c>
      <c r="J153" s="56">
        <f>EFEITO!$J$153*EFEITO!$Y$110</f>
        <v>0</v>
      </c>
      <c r="K153" s="56">
        <f ca="1">EFEITO!$L$153*EFEITO!$Z$178</f>
        <v>4075.7727227242062</v>
      </c>
      <c r="L153" s="56">
        <f>EFEITO!$N$153*EFEITO!$AA$178</f>
        <v>1482.609896350335</v>
      </c>
      <c r="M153" s="56">
        <f>$J$153-EFEITO!$K$153*EFEITO!$Y$153</f>
        <v>0</v>
      </c>
      <c r="N153" s="56">
        <f ca="1">$K$153-EFEITO!$M$153*EFEITO!$Z$153</f>
        <v>2649.2522697707341</v>
      </c>
      <c r="O153" s="56">
        <f>$L$153-EFEITO!$O$153*EFEITO!$AA$153</f>
        <v>963.69643262771774</v>
      </c>
      <c r="P153" s="39"/>
      <c r="Q153" s="39"/>
      <c r="R153" s="39"/>
      <c r="S153" s="39"/>
      <c r="T153" s="39"/>
      <c r="U153" s="39"/>
      <c r="V153" s="39"/>
      <c r="W153" s="39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35" t="s">
        <v>21</v>
      </c>
      <c r="B154" s="35" t="s">
        <v>22</v>
      </c>
      <c r="C154" s="35" t="s">
        <v>23</v>
      </c>
      <c r="D154" s="35" t="s">
        <v>24</v>
      </c>
      <c r="E154" s="35" t="s">
        <v>30</v>
      </c>
      <c r="F154" s="35" t="s">
        <v>25</v>
      </c>
      <c r="G154" s="35" t="s">
        <v>25</v>
      </c>
      <c r="H154" s="35" t="s">
        <v>25</v>
      </c>
      <c r="I154" s="55">
        <v>44440</v>
      </c>
      <c r="J154" s="56">
        <f>EFEITO!$J$154*EFEITO!$Y$110</f>
        <v>0</v>
      </c>
      <c r="K154" s="56">
        <f ca="1">EFEITO!$L$154*EFEITO!$Z$178</f>
        <v>5210.0479975841099</v>
      </c>
      <c r="L154" s="56">
        <f>EFEITO!$N$154*EFEITO!$AA$178</f>
        <v>1895.2157657396288</v>
      </c>
      <c r="M154" s="56">
        <f>$J$154-EFEITO!$K$154*EFEITO!$Y$154</f>
        <v>0</v>
      </c>
      <c r="N154" s="56">
        <f ca="1">$K$154-EFEITO!$M$154*EFEITO!$Z$154</f>
        <v>2084.0191990336443</v>
      </c>
      <c r="O154" s="56">
        <f>$L$154-EFEITO!$O$154*EFEITO!$AA$154</f>
        <v>758.0863062958515</v>
      </c>
      <c r="P154" s="39"/>
      <c r="Q154" s="39"/>
      <c r="R154" s="39"/>
      <c r="S154" s="39"/>
      <c r="T154" s="39"/>
      <c r="U154" s="39"/>
      <c r="V154" s="39"/>
      <c r="W154" s="39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35" t="s">
        <v>21</v>
      </c>
      <c r="B155" s="35" t="s">
        <v>22</v>
      </c>
      <c r="C155" s="35" t="s">
        <v>23</v>
      </c>
      <c r="D155" s="35" t="s">
        <v>24</v>
      </c>
      <c r="E155" s="35" t="s">
        <v>30</v>
      </c>
      <c r="F155" s="35" t="s">
        <v>25</v>
      </c>
      <c r="G155" s="35" t="s">
        <v>25</v>
      </c>
      <c r="H155" s="35" t="s">
        <v>25</v>
      </c>
      <c r="I155" s="55">
        <v>44470</v>
      </c>
      <c r="J155" s="56">
        <f>EFEITO!$J$155*EFEITO!$Y$110</f>
        <v>0</v>
      </c>
      <c r="K155" s="56">
        <f ca="1">EFEITO!$L$155*EFEITO!$Z$178</f>
        <v>5066.570640055189</v>
      </c>
      <c r="L155" s="56">
        <f>EFEITO!$N$155*EFEITO!$AA$178</f>
        <v>1843.0242024101619</v>
      </c>
      <c r="M155" s="56">
        <f>$J$155-EFEITO!$K$155*EFEITO!$Y$155</f>
        <v>0</v>
      </c>
      <c r="N155" s="56">
        <f ca="1">$K$155-EFEITO!$M$155*EFEITO!$Z$155</f>
        <v>2026.6282560220757</v>
      </c>
      <c r="O155" s="56">
        <f>$L$155-EFEITO!$O$155*EFEITO!$AA$155</f>
        <v>737.20968096406477</v>
      </c>
      <c r="P155" s="39"/>
      <c r="Q155" s="39"/>
      <c r="R155" s="39"/>
      <c r="S155" s="39"/>
      <c r="T155" s="39"/>
      <c r="U155" s="39"/>
      <c r="V155" s="39"/>
      <c r="W155" s="39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35" t="s">
        <v>21</v>
      </c>
      <c r="B156" s="35" t="s">
        <v>22</v>
      </c>
      <c r="C156" s="35" t="s">
        <v>23</v>
      </c>
      <c r="D156" s="35" t="s">
        <v>24</v>
      </c>
      <c r="E156" s="35" t="s">
        <v>30</v>
      </c>
      <c r="F156" s="35" t="s">
        <v>25</v>
      </c>
      <c r="G156" s="35" t="s">
        <v>25</v>
      </c>
      <c r="H156" s="35" t="s">
        <v>25</v>
      </c>
      <c r="I156" s="55">
        <v>44501</v>
      </c>
      <c r="J156" s="56">
        <f>EFEITO!$J$156*EFEITO!$Y$110</f>
        <v>0</v>
      </c>
      <c r="K156" s="56">
        <f ca="1">EFEITO!$L$156*EFEITO!$Z$178</f>
        <v>5240.5210646698979</v>
      </c>
      <c r="L156" s="56">
        <f>EFEITO!$N$156*EFEITO!$AA$178</f>
        <v>1906.3006995441172</v>
      </c>
      <c r="M156" s="56">
        <f>$J$156-EFEITO!$K$156*EFEITO!$Y$156</f>
        <v>0</v>
      </c>
      <c r="N156" s="56">
        <f ca="1">$K$156-EFEITO!$M$156*EFEITO!$Z$156</f>
        <v>2096.2084258679597</v>
      </c>
      <c r="O156" s="56">
        <f>$L$156-EFEITO!$O$156*EFEITO!$AA$156</f>
        <v>762.52027981764695</v>
      </c>
      <c r="P156" s="39"/>
      <c r="Q156" s="39"/>
      <c r="R156" s="39"/>
      <c r="S156" s="39"/>
      <c r="T156" s="39"/>
      <c r="U156" s="39"/>
      <c r="V156" s="39"/>
      <c r="W156" s="39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35" t="s">
        <v>21</v>
      </c>
      <c r="B157" s="35" t="s">
        <v>22</v>
      </c>
      <c r="C157" s="35" t="s">
        <v>23</v>
      </c>
      <c r="D157" s="35" t="s">
        <v>24</v>
      </c>
      <c r="E157" s="35" t="s">
        <v>30</v>
      </c>
      <c r="F157" s="35" t="s">
        <v>25</v>
      </c>
      <c r="G157" s="35" t="s">
        <v>25</v>
      </c>
      <c r="H157" s="35" t="s">
        <v>25</v>
      </c>
      <c r="I157" s="55">
        <v>44531</v>
      </c>
      <c r="J157" s="56">
        <f>EFEITO!$J$157*EFEITO!$Y$110</f>
        <v>0</v>
      </c>
      <c r="K157" s="56">
        <f ca="1">EFEITO!$L$157*EFEITO!$Z$178</f>
        <v>5563.874165413542</v>
      </c>
      <c r="L157" s="56">
        <f>EFEITO!$N$157*EFEITO!$AA$178</f>
        <v>2023.9241638028561</v>
      </c>
      <c r="M157" s="56">
        <f>$J$157-EFEITO!$K$157*EFEITO!$Y$157</f>
        <v>0</v>
      </c>
      <c r="N157" s="56">
        <f ca="1">$K$157-EFEITO!$M$157*EFEITO!$Z$157</f>
        <v>2225.549666165417</v>
      </c>
      <c r="O157" s="56">
        <f>$L$157-EFEITO!$O$157*EFEITO!$AA$157</f>
        <v>809.5696655211425</v>
      </c>
      <c r="P157" s="39"/>
      <c r="Q157" s="39"/>
      <c r="R157" s="39"/>
      <c r="S157" s="39"/>
      <c r="T157" s="39"/>
      <c r="U157" s="39"/>
      <c r="V157" s="39"/>
      <c r="W157" s="39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35" t="s">
        <v>21</v>
      </c>
      <c r="B158" s="35" t="s">
        <v>22</v>
      </c>
      <c r="C158" s="35" t="s">
        <v>23</v>
      </c>
      <c r="D158" s="35" t="s">
        <v>24</v>
      </c>
      <c r="E158" s="35" t="s">
        <v>30</v>
      </c>
      <c r="F158" s="35" t="s">
        <v>25</v>
      </c>
      <c r="G158" s="35" t="s">
        <v>25</v>
      </c>
      <c r="H158" s="35" t="s">
        <v>25</v>
      </c>
      <c r="I158" s="55">
        <v>44562</v>
      </c>
      <c r="J158" s="56">
        <f>EFEITO!$J$158*EFEITO!$Y$110</f>
        <v>0</v>
      </c>
      <c r="K158" s="56">
        <f ca="1">EFEITO!$L$158*EFEITO!$Z$178</f>
        <v>5748.4055160997059</v>
      </c>
      <c r="L158" s="56">
        <f>EFEITO!$N$158*EFEITO!$AA$178</f>
        <v>2091.0495962855921</v>
      </c>
      <c r="M158" s="56">
        <f>$J$158-EFEITO!$K$158*EFEITO!$Y$158</f>
        <v>0</v>
      </c>
      <c r="N158" s="56">
        <f ca="1">$K$158-EFEITO!$M$158*EFEITO!$Z$158</f>
        <v>2299.3622064398828</v>
      </c>
      <c r="O158" s="56">
        <f>$L$158-EFEITO!$O$158*EFEITO!$AA$158</f>
        <v>836.41983851423697</v>
      </c>
      <c r="P158" s="39"/>
      <c r="Q158" s="39"/>
      <c r="R158" s="39"/>
      <c r="S158" s="39"/>
      <c r="T158" s="39"/>
      <c r="U158" s="39"/>
      <c r="V158" s="39"/>
      <c r="W158" s="39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35" t="s">
        <v>21</v>
      </c>
      <c r="B159" s="35" t="s">
        <v>22</v>
      </c>
      <c r="C159" s="35" t="s">
        <v>23</v>
      </c>
      <c r="D159" s="35" t="s">
        <v>24</v>
      </c>
      <c r="E159" s="35" t="s">
        <v>30</v>
      </c>
      <c r="F159" s="35" t="s">
        <v>25</v>
      </c>
      <c r="G159" s="35" t="s">
        <v>25</v>
      </c>
      <c r="H159" s="35" t="s">
        <v>25</v>
      </c>
      <c r="I159" s="55">
        <v>44593</v>
      </c>
      <c r="J159" s="56">
        <f>EFEITO!$J$159*EFEITO!$Y$110</f>
        <v>0</v>
      </c>
      <c r="K159" s="56">
        <f ca="1">EFEITO!$L$159*EFEITO!$Z$178</f>
        <v>10412.90096543963</v>
      </c>
      <c r="L159" s="56">
        <f>EFEITO!$N$159*EFEITO!$AA$178</f>
        <v>3787.8142554420865</v>
      </c>
      <c r="M159" s="56">
        <f>$J$159-EFEITO!$K$159*EFEITO!$Y$159</f>
        <v>0</v>
      </c>
      <c r="N159" s="56">
        <f ca="1">$K$159-EFEITO!$M$159*EFEITO!$Z$159</f>
        <v>4165.1603861758522</v>
      </c>
      <c r="O159" s="56">
        <f>$L$159-EFEITO!$O$159*EFEITO!$AA$159</f>
        <v>1515.1257021768347</v>
      </c>
      <c r="P159" s="39"/>
      <c r="Q159" s="39"/>
      <c r="R159" s="39"/>
      <c r="S159" s="39"/>
      <c r="T159" s="39"/>
      <c r="U159" s="39"/>
      <c r="V159" s="39"/>
      <c r="W159" s="39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35" t="s">
        <v>21</v>
      </c>
      <c r="B160" s="35" t="s">
        <v>22</v>
      </c>
      <c r="C160" s="35" t="s">
        <v>23</v>
      </c>
      <c r="D160" s="35" t="s">
        <v>24</v>
      </c>
      <c r="E160" s="35" t="s">
        <v>30</v>
      </c>
      <c r="F160" s="35" t="s">
        <v>25</v>
      </c>
      <c r="G160" s="35" t="s">
        <v>25</v>
      </c>
      <c r="H160" s="35" t="s">
        <v>25</v>
      </c>
      <c r="I160" s="55">
        <v>44621</v>
      </c>
      <c r="J160" s="56">
        <f>EFEITO!$J$160*EFEITO!$Y$110</f>
        <v>0</v>
      </c>
      <c r="K160" s="56">
        <f ca="1">EFEITO!$L$160*EFEITO!$Z$178</f>
        <v>11175.150879627199</v>
      </c>
      <c r="L160" s="56">
        <f>EFEITO!$N$160*EFEITO!$AA$178</f>
        <v>4065.0915579682496</v>
      </c>
      <c r="M160" s="56">
        <f>$J$160-EFEITO!$K$160*EFEITO!$Y$160</f>
        <v>0</v>
      </c>
      <c r="N160" s="56">
        <f ca="1">$K$160-EFEITO!$M$160*EFEITO!$Z$160</f>
        <v>4470.0603518508797</v>
      </c>
      <c r="O160" s="56">
        <f>$L$160-EFEITO!$O$160*EFEITO!$AA$160</f>
        <v>1626.0366231872999</v>
      </c>
      <c r="P160" s="39"/>
      <c r="Q160" s="39"/>
      <c r="R160" s="39"/>
      <c r="S160" s="39"/>
      <c r="T160" s="39"/>
      <c r="U160" s="39"/>
      <c r="V160" s="39"/>
      <c r="W160" s="39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35" t="s">
        <v>21</v>
      </c>
      <c r="B161" s="35" t="s">
        <v>22</v>
      </c>
      <c r="C161" s="35" t="s">
        <v>23</v>
      </c>
      <c r="D161" s="35" t="s">
        <v>24</v>
      </c>
      <c r="E161" s="35" t="s">
        <v>30</v>
      </c>
      <c r="F161" s="35" t="s">
        <v>25</v>
      </c>
      <c r="G161" s="35" t="s">
        <v>25</v>
      </c>
      <c r="H161" s="35" t="s">
        <v>25</v>
      </c>
      <c r="I161" s="55">
        <v>44652</v>
      </c>
      <c r="J161" s="56">
        <f>EFEITO!$J$161*EFEITO!$Y$110</f>
        <v>0</v>
      </c>
      <c r="K161" s="56">
        <f ca="1">EFEITO!$L$161*EFEITO!$Z$178</f>
        <v>11068.07190778408</v>
      </c>
      <c r="L161" s="56">
        <f>EFEITO!$N$161*EFEITO!$AA$178</f>
        <v>4026.1403322385886</v>
      </c>
      <c r="M161" s="56">
        <f>$J$161-EFEITO!$K$161*EFEITO!$Y$161</f>
        <v>0</v>
      </c>
      <c r="N161" s="56">
        <f ca="1">$K$161-EFEITO!$M$161*EFEITO!$Z$161</f>
        <v>4427.2287631136323</v>
      </c>
      <c r="O161" s="56">
        <f>$L$161-EFEITO!$O$161*EFEITO!$AA$161</f>
        <v>1610.4561328954355</v>
      </c>
      <c r="P161" s="39"/>
      <c r="Q161" s="39"/>
      <c r="R161" s="39"/>
      <c r="S161" s="39"/>
      <c r="T161" s="39"/>
      <c r="U161" s="39"/>
      <c r="V161" s="39"/>
      <c r="W161" s="39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35" t="s">
        <v>21</v>
      </c>
      <c r="B162" s="35" t="s">
        <v>22</v>
      </c>
      <c r="C162" s="35" t="s">
        <v>23</v>
      </c>
      <c r="D162" s="35" t="s">
        <v>24</v>
      </c>
      <c r="E162" s="35" t="s">
        <v>30</v>
      </c>
      <c r="F162" s="35" t="s">
        <v>25</v>
      </c>
      <c r="G162" s="35" t="s">
        <v>25</v>
      </c>
      <c r="H162" s="35" t="s">
        <v>25</v>
      </c>
      <c r="I162" s="55">
        <v>44682</v>
      </c>
      <c r="J162" s="56">
        <f>EFEITO!$J$162*EFEITO!$Y$110</f>
        <v>0</v>
      </c>
      <c r="K162" s="56">
        <f ca="1">EFEITO!$L$162*EFEITO!$Z$178</f>
        <v>10289.738985967902</v>
      </c>
      <c r="L162" s="56">
        <f>EFEITO!$N$162*EFEITO!$AA$178</f>
        <v>3743.0126479822788</v>
      </c>
      <c r="M162" s="56">
        <f>$J$162-EFEITO!$K$162*EFEITO!$Y$162</f>
        <v>0</v>
      </c>
      <c r="N162" s="56">
        <f ca="1">$K$162-EFEITO!$M$162*EFEITO!$Z$162</f>
        <v>4115.8955943871615</v>
      </c>
      <c r="O162" s="56">
        <f>$L$162-EFEITO!$O$162*EFEITO!$AA$162</f>
        <v>1497.2050591929114</v>
      </c>
      <c r="P162" s="39"/>
      <c r="Q162" s="39"/>
      <c r="R162" s="39"/>
      <c r="S162" s="39"/>
      <c r="T162" s="39"/>
      <c r="U162" s="39"/>
      <c r="V162" s="39"/>
      <c r="W162" s="39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35" t="s">
        <v>21</v>
      </c>
      <c r="B163" s="35" t="s">
        <v>22</v>
      </c>
      <c r="C163" s="35" t="s">
        <v>23</v>
      </c>
      <c r="D163" s="35" t="s">
        <v>24</v>
      </c>
      <c r="E163" s="35" t="s">
        <v>30</v>
      </c>
      <c r="F163" s="35" t="s">
        <v>25</v>
      </c>
      <c r="G163" s="35" t="s">
        <v>25</v>
      </c>
      <c r="H163" s="35" t="s">
        <v>25</v>
      </c>
      <c r="I163" s="55">
        <v>44713</v>
      </c>
      <c r="J163" s="56">
        <f>EFEITO!$J$163*EFEITO!$Y$110</f>
        <v>0</v>
      </c>
      <c r="K163" s="56">
        <f ca="1">EFEITO!$L$163*EFEITO!$Z$178</f>
        <v>8917.6044930217049</v>
      </c>
      <c r="L163" s="56">
        <f>EFEITO!$N$163*EFEITO!$AA$178</f>
        <v>3243.8827119523944</v>
      </c>
      <c r="M163" s="56">
        <f>$J$163-EFEITO!$K$163*EFEITO!$Y$163</f>
        <v>0</v>
      </c>
      <c r="N163" s="56">
        <f ca="1">$K$163-EFEITO!$M$163*EFEITO!$Z$163</f>
        <v>3567.0417972086825</v>
      </c>
      <c r="O163" s="56">
        <f>$L$163-EFEITO!$O$163*EFEITO!$AA$163</f>
        <v>1297.5530847809578</v>
      </c>
      <c r="P163" s="39"/>
      <c r="Q163" s="39"/>
      <c r="R163" s="39"/>
      <c r="S163" s="39"/>
      <c r="T163" s="39"/>
      <c r="U163" s="39"/>
      <c r="V163" s="39"/>
      <c r="W163" s="39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35" t="s">
        <v>21</v>
      </c>
      <c r="B164" s="35" t="s">
        <v>22</v>
      </c>
      <c r="C164" s="35" t="s">
        <v>23</v>
      </c>
      <c r="D164" s="35" t="s">
        <v>24</v>
      </c>
      <c r="E164" s="35" t="s">
        <v>30</v>
      </c>
      <c r="F164" s="35" t="s">
        <v>25</v>
      </c>
      <c r="G164" s="35" t="s">
        <v>25</v>
      </c>
      <c r="H164" s="35" t="s">
        <v>25</v>
      </c>
      <c r="I164" s="55">
        <v>44743</v>
      </c>
      <c r="J164" s="56">
        <f>EFEITO!$J$164*EFEITO!$Y$110</f>
        <v>0</v>
      </c>
      <c r="K164" s="56">
        <f ca="1">EFEITO!$L$164*EFEITO!$Z$178</f>
        <v>7876.864604633457</v>
      </c>
      <c r="L164" s="56">
        <f>EFEITO!$N$164*EFEITO!$AA$178</f>
        <v>2865.3014310463227</v>
      </c>
      <c r="M164" s="56">
        <f>$J$164-EFEITO!$K$164*EFEITO!$Y$164</f>
        <v>0</v>
      </c>
      <c r="N164" s="56">
        <f ca="1">$K$164-EFEITO!$M$164*EFEITO!$Z$164</f>
        <v>3150.7458418533824</v>
      </c>
      <c r="O164" s="56">
        <f>$L$164-EFEITO!$O$164*EFEITO!$AA$164</f>
        <v>1146.1205724185293</v>
      </c>
      <c r="P164" s="39"/>
      <c r="Q164" s="39"/>
      <c r="R164" s="39"/>
      <c r="S164" s="39"/>
      <c r="T164" s="39"/>
      <c r="U164" s="39"/>
      <c r="V164" s="39"/>
      <c r="W164" s="39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35" t="s">
        <v>21</v>
      </c>
      <c r="B165" s="35" t="s">
        <v>22</v>
      </c>
      <c r="C165" s="35" t="s">
        <v>23</v>
      </c>
      <c r="D165" s="35" t="s">
        <v>24</v>
      </c>
      <c r="E165" s="35" t="s">
        <v>30</v>
      </c>
      <c r="F165" s="35" t="s">
        <v>25</v>
      </c>
      <c r="G165" s="35" t="s">
        <v>25</v>
      </c>
      <c r="H165" s="35" t="s">
        <v>25</v>
      </c>
      <c r="I165" s="55">
        <v>44774</v>
      </c>
      <c r="J165" s="56">
        <f>EFEITO!$J$165*EFEITO!$Y$110</f>
        <v>0</v>
      </c>
      <c r="K165" s="56">
        <f ca="1">EFEITO!$L$165*EFEITO!$Z$178</f>
        <v>8091.4457853625499</v>
      </c>
      <c r="L165" s="56">
        <f>EFEITO!$N$165*EFEITO!$AA$178</f>
        <v>2943.3578399195953</v>
      </c>
      <c r="M165" s="56">
        <f>$J$165-EFEITO!$K$165*EFEITO!$Y$165</f>
        <v>0</v>
      </c>
      <c r="N165" s="56">
        <f ca="1">$K$165-EFEITO!$M$165*EFEITO!$Z$165</f>
        <v>3236.5783141450202</v>
      </c>
      <c r="O165" s="56">
        <f>$L$165-EFEITO!$O$165*EFEITO!$AA$165</f>
        <v>1177.3431359678382</v>
      </c>
      <c r="P165" s="39"/>
      <c r="Q165" s="39"/>
      <c r="R165" s="39"/>
      <c r="S165" s="39"/>
      <c r="T165" s="39"/>
      <c r="U165" s="39"/>
      <c r="V165" s="39"/>
      <c r="W165" s="39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35" t="s">
        <v>21</v>
      </c>
      <c r="B166" s="35" t="s">
        <v>22</v>
      </c>
      <c r="C166" s="35" t="s">
        <v>23</v>
      </c>
      <c r="D166" s="35" t="s">
        <v>24</v>
      </c>
      <c r="E166" s="35" t="s">
        <v>31</v>
      </c>
      <c r="F166" s="35" t="s">
        <v>25</v>
      </c>
      <c r="G166" s="35" t="s">
        <v>25</v>
      </c>
      <c r="H166" s="35" t="s">
        <v>25</v>
      </c>
      <c r="I166" s="55">
        <v>44440</v>
      </c>
      <c r="J166" s="56">
        <f>EFEITO!$J$166*EFEITO!$Y$110</f>
        <v>0</v>
      </c>
      <c r="K166" s="56">
        <f ca="1">EFEITO!$L$166*EFEITO!$Z$178</f>
        <v>5477.110571627617</v>
      </c>
      <c r="L166" s="56">
        <f>EFEITO!$N$166*EFEITO!$AA$178</f>
        <v>1992.3628939428543</v>
      </c>
      <c r="M166" s="56">
        <f>$J$166-EFEITO!$K$166*EFEITO!$Y$166</f>
        <v>0</v>
      </c>
      <c r="N166" s="56">
        <f ca="1">$K$166-EFEITO!$M$166*EFEITO!$Z$166</f>
        <v>547.71105716276179</v>
      </c>
      <c r="O166" s="56">
        <f>$L$166-EFEITO!$O$166*EFEITO!$AA$166</f>
        <v>199.23628939428522</v>
      </c>
      <c r="P166" s="39"/>
      <c r="Q166" s="39"/>
      <c r="R166" s="39"/>
      <c r="S166" s="39"/>
      <c r="T166" s="39"/>
      <c r="U166" s="39"/>
      <c r="V166" s="39"/>
      <c r="W166" s="39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35" t="s">
        <v>21</v>
      </c>
      <c r="B167" s="35" t="s">
        <v>22</v>
      </c>
      <c r="C167" s="35" t="s">
        <v>23</v>
      </c>
      <c r="D167" s="35" t="s">
        <v>24</v>
      </c>
      <c r="E167" s="35" t="s">
        <v>31</v>
      </c>
      <c r="F167" s="35" t="s">
        <v>25</v>
      </c>
      <c r="G167" s="35" t="s">
        <v>25</v>
      </c>
      <c r="H167" s="35" t="s">
        <v>25</v>
      </c>
      <c r="I167" s="55">
        <v>44470</v>
      </c>
      <c r="J167" s="56">
        <f>EFEITO!$J$167*EFEITO!$Y$110</f>
        <v>0</v>
      </c>
      <c r="K167" s="56">
        <f ca="1">EFEITO!$L$167*EFEITO!$Z$178</f>
        <v>4333.100844781975</v>
      </c>
      <c r="L167" s="56">
        <f>EFEITO!$N$167*EFEITO!$AA$178</f>
        <v>1576.2160040326821</v>
      </c>
      <c r="M167" s="56">
        <f>$J$167-EFEITO!$K$167*EFEITO!$Y$167</f>
        <v>0</v>
      </c>
      <c r="N167" s="56">
        <f ca="1">$K$167-EFEITO!$M$167*EFEITO!$Z$167</f>
        <v>433.31008447819795</v>
      </c>
      <c r="O167" s="56">
        <f>$L$167-EFEITO!$O$167*EFEITO!$AA$167</f>
        <v>157.62160040326808</v>
      </c>
      <c r="P167" s="39"/>
      <c r="Q167" s="39"/>
      <c r="R167" s="39"/>
      <c r="S167" s="39"/>
      <c r="T167" s="39"/>
      <c r="U167" s="39"/>
      <c r="V167" s="39"/>
      <c r="W167" s="39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35" t="s">
        <v>21</v>
      </c>
      <c r="B168" s="35" t="s">
        <v>22</v>
      </c>
      <c r="C168" s="35" t="s">
        <v>23</v>
      </c>
      <c r="D168" s="35" t="s">
        <v>24</v>
      </c>
      <c r="E168" s="35" t="s">
        <v>31</v>
      </c>
      <c r="F168" s="35" t="s">
        <v>25</v>
      </c>
      <c r="G168" s="35" t="s">
        <v>25</v>
      </c>
      <c r="H168" s="35" t="s">
        <v>25</v>
      </c>
      <c r="I168" s="55">
        <v>44501</v>
      </c>
      <c r="J168" s="56">
        <f>EFEITO!$J$168*EFEITO!$Y$110</f>
        <v>0</v>
      </c>
      <c r="K168" s="56">
        <f ca="1">EFEITO!$L$168*EFEITO!$Z$178</f>
        <v>5272.6870799271192</v>
      </c>
      <c r="L168" s="56">
        <f>EFEITO!$N$168*EFEITO!$AA$178</f>
        <v>1918.0014630044107</v>
      </c>
      <c r="M168" s="56">
        <f>$J$168-EFEITO!$K$168*EFEITO!$Y$168</f>
        <v>0</v>
      </c>
      <c r="N168" s="56">
        <f ca="1">$K$168-EFEITO!$M$168*EFEITO!$Z$168</f>
        <v>527.26870799271273</v>
      </c>
      <c r="O168" s="56">
        <f>$L$168-EFEITO!$O$168*EFEITO!$AA$168</f>
        <v>191.80014630044093</v>
      </c>
      <c r="P168" s="39"/>
      <c r="Q168" s="39"/>
      <c r="R168" s="39"/>
      <c r="S168" s="39"/>
      <c r="T168" s="39"/>
      <c r="U168" s="39"/>
      <c r="V168" s="39"/>
      <c r="W168" s="39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35" t="s">
        <v>21</v>
      </c>
      <c r="B169" s="35" t="s">
        <v>22</v>
      </c>
      <c r="C169" s="35" t="s">
        <v>23</v>
      </c>
      <c r="D169" s="35" t="s">
        <v>24</v>
      </c>
      <c r="E169" s="35" t="s">
        <v>31</v>
      </c>
      <c r="F169" s="35" t="s">
        <v>25</v>
      </c>
      <c r="G169" s="35" t="s">
        <v>25</v>
      </c>
      <c r="H169" s="35" t="s">
        <v>25</v>
      </c>
      <c r="I169" s="55">
        <v>44531</v>
      </c>
      <c r="J169" s="56">
        <f>EFEITO!$J$169*EFEITO!$Y$110</f>
        <v>0</v>
      </c>
      <c r="K169" s="56">
        <f ca="1">EFEITO!$L$169*EFEITO!$Z$178</f>
        <v>6529.2778601730342</v>
      </c>
      <c r="L169" s="56">
        <f>EFEITO!$N$169*EFEITO!$AA$178</f>
        <v>2375.1010250256095</v>
      </c>
      <c r="M169" s="56">
        <f>$J$169-EFEITO!$K$169*EFEITO!$Y$169</f>
        <v>0</v>
      </c>
      <c r="N169" s="56">
        <f ca="1">$K$169-EFEITO!$M$169*EFEITO!$Z$169</f>
        <v>652.92778601730333</v>
      </c>
      <c r="O169" s="56">
        <f>$L$169-EFEITO!$O$169*EFEITO!$AA$169</f>
        <v>237.51010250256104</v>
      </c>
      <c r="P169" s="39"/>
      <c r="Q169" s="39"/>
      <c r="R169" s="39"/>
      <c r="S169" s="39"/>
      <c r="T169" s="39"/>
      <c r="U169" s="39"/>
      <c r="V169" s="39"/>
      <c r="W169" s="39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35" t="s">
        <v>21</v>
      </c>
      <c r="B170" s="35" t="s">
        <v>22</v>
      </c>
      <c r="C170" s="35" t="s">
        <v>23</v>
      </c>
      <c r="D170" s="35" t="s">
        <v>24</v>
      </c>
      <c r="E170" s="35" t="s">
        <v>31</v>
      </c>
      <c r="F170" s="35" t="s">
        <v>25</v>
      </c>
      <c r="G170" s="35" t="s">
        <v>25</v>
      </c>
      <c r="H170" s="35" t="s">
        <v>25</v>
      </c>
      <c r="I170" s="55">
        <v>44562</v>
      </c>
      <c r="J170" s="56">
        <f>EFEITO!$J$170*EFEITO!$Y$110</f>
        <v>0</v>
      </c>
      <c r="K170" s="56">
        <f ca="1">EFEITO!$L$170*EFEITO!$Z$178</f>
        <v>7055.784741488601</v>
      </c>
      <c r="L170" s="56">
        <f>EFEITO!$N$170*EFEITO!$AA$178</f>
        <v>2566.624047980938</v>
      </c>
      <c r="M170" s="56">
        <f>$J$170-EFEITO!$K$170*EFEITO!$Y$170</f>
        <v>0</v>
      </c>
      <c r="N170" s="56">
        <f ca="1">$K$170-EFEITO!$M$170*EFEITO!$Z$170</f>
        <v>705.57847414885964</v>
      </c>
      <c r="O170" s="56">
        <f>$L$170-EFEITO!$O$170*EFEITO!$AA$170</f>
        <v>256.66240479809358</v>
      </c>
      <c r="P170" s="39"/>
      <c r="Q170" s="39"/>
      <c r="R170" s="39"/>
      <c r="S170" s="39"/>
      <c r="T170" s="39"/>
      <c r="U170" s="39"/>
      <c r="V170" s="39"/>
      <c r="W170" s="39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35" t="s">
        <v>21</v>
      </c>
      <c r="B171" s="35" t="s">
        <v>22</v>
      </c>
      <c r="C171" s="35" t="s">
        <v>23</v>
      </c>
      <c r="D171" s="35" t="s">
        <v>24</v>
      </c>
      <c r="E171" s="35" t="s">
        <v>31</v>
      </c>
      <c r="F171" s="35" t="s">
        <v>25</v>
      </c>
      <c r="G171" s="35" t="s">
        <v>25</v>
      </c>
      <c r="H171" s="35" t="s">
        <v>25</v>
      </c>
      <c r="I171" s="55">
        <v>44593</v>
      </c>
      <c r="J171" s="56">
        <f>EFEITO!$J$171*EFEITO!$Y$110</f>
        <v>0</v>
      </c>
      <c r="K171" s="56">
        <f ca="1">EFEITO!$L$171*EFEITO!$Z$178</f>
        <v>11134.943360555673</v>
      </c>
      <c r="L171" s="56">
        <f>EFEITO!$N$171*EFEITO!$AA$178</f>
        <v>4050.4656036428833</v>
      </c>
      <c r="M171" s="56">
        <f>$J$171-EFEITO!$K$171*EFEITO!$Y$171</f>
        <v>0</v>
      </c>
      <c r="N171" s="56">
        <f ca="1">$K$171-EFEITO!$M$171*EFEITO!$Z$171</f>
        <v>1113.4943360555681</v>
      </c>
      <c r="O171" s="56">
        <f>$L$171-EFEITO!$O$171*EFEITO!$AA$171</f>
        <v>405.04656036428787</v>
      </c>
      <c r="P171" s="39"/>
      <c r="Q171" s="39"/>
      <c r="R171" s="39"/>
      <c r="S171" s="39"/>
      <c r="T171" s="39"/>
      <c r="U171" s="39"/>
      <c r="V171" s="39"/>
      <c r="W171" s="39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35" t="s">
        <v>21</v>
      </c>
      <c r="B172" s="35" t="s">
        <v>22</v>
      </c>
      <c r="C172" s="35" t="s">
        <v>23</v>
      </c>
      <c r="D172" s="35" t="s">
        <v>24</v>
      </c>
      <c r="E172" s="35" t="s">
        <v>31</v>
      </c>
      <c r="F172" s="35" t="s">
        <v>25</v>
      </c>
      <c r="G172" s="35" t="s">
        <v>25</v>
      </c>
      <c r="H172" s="35" t="s">
        <v>25</v>
      </c>
      <c r="I172" s="55">
        <v>44621</v>
      </c>
      <c r="J172" s="56">
        <f>EFEITO!$J$172*EFEITO!$Y$110</f>
        <v>0</v>
      </c>
      <c r="K172" s="56">
        <f ca="1">EFEITO!$L$172*EFEITO!$Z$178</f>
        <v>12070.720462315094</v>
      </c>
      <c r="L172" s="56">
        <f>EFEITO!$N$172*EFEITO!$AA$178</f>
        <v>4390.8654458890505</v>
      </c>
      <c r="M172" s="56">
        <f>$J$172-EFEITO!$K$172*EFEITO!$Y$172</f>
        <v>0</v>
      </c>
      <c r="N172" s="56">
        <f ca="1">$K$172-EFEITO!$M$172*EFEITO!$Z$172</f>
        <v>1207.0720462315112</v>
      </c>
      <c r="O172" s="56">
        <f>$L$172-EFEITO!$O$172*EFEITO!$AA$172</f>
        <v>439.08654458890487</v>
      </c>
      <c r="P172" s="39"/>
      <c r="Q172" s="39"/>
      <c r="R172" s="39"/>
      <c r="S172" s="39"/>
      <c r="T172" s="39"/>
      <c r="U172" s="39"/>
      <c r="V172" s="39"/>
      <c r="W172" s="39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35" t="s">
        <v>21</v>
      </c>
      <c r="B173" s="35" t="s">
        <v>22</v>
      </c>
      <c r="C173" s="35" t="s">
        <v>23</v>
      </c>
      <c r="D173" s="35" t="s">
        <v>24</v>
      </c>
      <c r="E173" s="35" t="s">
        <v>31</v>
      </c>
      <c r="F173" s="35" t="s">
        <v>25</v>
      </c>
      <c r="G173" s="35" t="s">
        <v>25</v>
      </c>
      <c r="H173" s="35" t="s">
        <v>25</v>
      </c>
      <c r="I173" s="55">
        <v>44652</v>
      </c>
      <c r="J173" s="56">
        <f>EFEITO!$J$173*EFEITO!$Y$110</f>
        <v>0</v>
      </c>
      <c r="K173" s="56">
        <f ca="1">EFEITO!$L$173*EFEITO!$Z$178</f>
        <v>11418.512179270649</v>
      </c>
      <c r="L173" s="56">
        <f>EFEITO!$N$173*EFEITO!$AA$178</f>
        <v>4153.6170709902062</v>
      </c>
      <c r="M173" s="56">
        <f>$J$173-EFEITO!$K$173*EFEITO!$Y$173</f>
        <v>0</v>
      </c>
      <c r="N173" s="56">
        <f ca="1">$K$173-EFEITO!$M$173*EFEITO!$Z$173</f>
        <v>1141.8512179270656</v>
      </c>
      <c r="O173" s="56">
        <f>$L$173-EFEITO!$O$173*EFEITO!$AA$173</f>
        <v>415.36170709902035</v>
      </c>
      <c r="P173" s="39"/>
      <c r="Q173" s="39"/>
      <c r="R173" s="39"/>
      <c r="S173" s="39"/>
      <c r="T173" s="39"/>
      <c r="U173" s="39"/>
      <c r="V173" s="39"/>
      <c r="W173" s="39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35" t="s">
        <v>21</v>
      </c>
      <c r="B174" s="35" t="s">
        <v>22</v>
      </c>
      <c r="C174" s="35" t="s">
        <v>23</v>
      </c>
      <c r="D174" s="35" t="s">
        <v>24</v>
      </c>
      <c r="E174" s="35" t="s">
        <v>31</v>
      </c>
      <c r="F174" s="35" t="s">
        <v>25</v>
      </c>
      <c r="G174" s="35" t="s">
        <v>25</v>
      </c>
      <c r="H174" s="35" t="s">
        <v>25</v>
      </c>
      <c r="I174" s="55">
        <v>44682</v>
      </c>
      <c r="J174" s="56">
        <f>EFEITO!$J$174*EFEITO!$Y$110</f>
        <v>0</v>
      </c>
      <c r="K174" s="56">
        <f ca="1">EFEITO!$L$174*EFEITO!$Z$178</f>
        <v>9481.779471151649</v>
      </c>
      <c r="L174" s="56">
        <f>EFEITO!$N$174*EFEITO!$AA$178</f>
        <v>3449.1079447493826</v>
      </c>
      <c r="M174" s="56">
        <f>$J$174-EFEITO!$K$174*EFEITO!$Y$174</f>
        <v>0</v>
      </c>
      <c r="N174" s="56">
        <f ca="1">$K$174-EFEITO!$M$174*EFEITO!$Z$174</f>
        <v>948.17794711516581</v>
      </c>
      <c r="O174" s="56">
        <f>$L$174-EFEITO!$O$174*EFEITO!$AA$174</f>
        <v>344.91079447493803</v>
      </c>
      <c r="P174" s="39"/>
      <c r="Q174" s="39"/>
      <c r="R174" s="39"/>
      <c r="S174" s="39"/>
      <c r="T174" s="39"/>
      <c r="U174" s="39"/>
      <c r="V174" s="39"/>
      <c r="W174" s="39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35" t="s">
        <v>21</v>
      </c>
      <c r="B175" s="35" t="s">
        <v>22</v>
      </c>
      <c r="C175" s="35" t="s">
        <v>23</v>
      </c>
      <c r="D175" s="35" t="s">
        <v>24</v>
      </c>
      <c r="E175" s="35" t="s">
        <v>31</v>
      </c>
      <c r="F175" s="35" t="s">
        <v>25</v>
      </c>
      <c r="G175" s="35" t="s">
        <v>25</v>
      </c>
      <c r="H175" s="35" t="s">
        <v>25</v>
      </c>
      <c r="I175" s="55">
        <v>44713</v>
      </c>
      <c r="J175" s="56">
        <f>EFEITO!$J$175*EFEITO!$Y$110</f>
        <v>0</v>
      </c>
      <c r="K175" s="56">
        <f ca="1">EFEITO!$L$175*EFEITO!$Z$178</f>
        <v>9498.2857158231182</v>
      </c>
      <c r="L175" s="56">
        <f>EFEITO!$N$175*EFEITO!$AA$178</f>
        <v>3455.1122838934807</v>
      </c>
      <c r="M175" s="56">
        <f>$J$175-EFEITO!$K$175*EFEITO!$Y$175</f>
        <v>0</v>
      </c>
      <c r="N175" s="56">
        <f ca="1">$K$175-EFEITO!$M$175*EFEITO!$Z$175</f>
        <v>949.82857158231309</v>
      </c>
      <c r="O175" s="56">
        <f>$L$175-EFEITO!$O$175*EFEITO!$AA$175</f>
        <v>345.51122838934771</v>
      </c>
      <c r="P175" s="39"/>
      <c r="Q175" s="39"/>
      <c r="R175" s="39"/>
      <c r="S175" s="39"/>
      <c r="T175" s="39"/>
      <c r="U175" s="39"/>
      <c r="V175" s="39"/>
      <c r="W175" s="39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35" t="s">
        <v>21</v>
      </c>
      <c r="B176" s="35" t="s">
        <v>22</v>
      </c>
      <c r="C176" s="35" t="s">
        <v>23</v>
      </c>
      <c r="D176" s="35" t="s">
        <v>24</v>
      </c>
      <c r="E176" s="35" t="s">
        <v>31</v>
      </c>
      <c r="F176" s="35" t="s">
        <v>25</v>
      </c>
      <c r="G176" s="35" t="s">
        <v>25</v>
      </c>
      <c r="H176" s="35" t="s">
        <v>25</v>
      </c>
      <c r="I176" s="55">
        <v>44743</v>
      </c>
      <c r="J176" s="56">
        <f>EFEITO!$J$176*EFEITO!$Y$110</f>
        <v>0</v>
      </c>
      <c r="K176" s="56">
        <f ca="1">EFEITO!$L$176*EFEITO!$Z$178</f>
        <v>6892.838479988206</v>
      </c>
      <c r="L176" s="56">
        <f>EFEITO!$N$176*EFEITO!$AA$178</f>
        <v>2507.3504436097151</v>
      </c>
      <c r="M176" s="56">
        <f>$J$176-EFEITO!$K$176*EFEITO!$Y$176</f>
        <v>0</v>
      </c>
      <c r="N176" s="56">
        <f ca="1">$K$176-EFEITO!$M$176*EFEITO!$Z$176</f>
        <v>689.28384799882133</v>
      </c>
      <c r="O176" s="56">
        <f>$L$176-EFEITO!$O$176*EFEITO!$AA$176</f>
        <v>250.73504436097119</v>
      </c>
      <c r="P176" s="39"/>
      <c r="Q176" s="39"/>
      <c r="R176" s="39"/>
      <c r="S176" s="39"/>
      <c r="T176" s="39"/>
      <c r="U176" s="39"/>
      <c r="V176" s="39"/>
      <c r="W176" s="39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35" t="s">
        <v>21</v>
      </c>
      <c r="B177" s="35" t="s">
        <v>22</v>
      </c>
      <c r="C177" s="35" t="s">
        <v>23</v>
      </c>
      <c r="D177" s="35" t="s">
        <v>24</v>
      </c>
      <c r="E177" s="35" t="s">
        <v>31</v>
      </c>
      <c r="F177" s="35" t="s">
        <v>25</v>
      </c>
      <c r="G177" s="35" t="s">
        <v>25</v>
      </c>
      <c r="H177" s="35" t="s">
        <v>25</v>
      </c>
      <c r="I177" s="55">
        <v>44774</v>
      </c>
      <c r="J177" s="56">
        <f>EFEITO!$J$177*EFEITO!$Y$110</f>
        <v>0</v>
      </c>
      <c r="K177" s="56">
        <f ca="1">EFEITO!$L$177*EFEITO!$Z$178</f>
        <v>7902.258827204947</v>
      </c>
      <c r="L177" s="56">
        <f>EFEITO!$N$177*EFEITO!$AA$178</f>
        <v>2874.538875883396</v>
      </c>
      <c r="M177" s="56">
        <f>$J$177-EFEITO!$K$177*EFEITO!$Y$177</f>
        <v>0</v>
      </c>
      <c r="N177" s="56">
        <f ca="1">$K$177-EFEITO!$M$177*EFEITO!$Z$177</f>
        <v>790.22588272049506</v>
      </c>
      <c r="O177" s="56">
        <f>$L$177-EFEITO!$O$177*EFEITO!$AA$177</f>
        <v>287.45388758833951</v>
      </c>
      <c r="P177" s="39"/>
      <c r="Q177" s="39"/>
      <c r="R177" s="39"/>
      <c r="S177" s="39"/>
      <c r="T177" s="39"/>
      <c r="U177" s="39"/>
      <c r="V177" s="39"/>
      <c r="W177" s="39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35" t="s">
        <v>21</v>
      </c>
      <c r="B178" s="35" t="s">
        <v>22</v>
      </c>
      <c r="C178" s="35" t="s">
        <v>23</v>
      </c>
      <c r="D178" s="35" t="s">
        <v>24</v>
      </c>
      <c r="E178" s="35" t="s">
        <v>32</v>
      </c>
      <c r="F178" s="35" t="s">
        <v>25</v>
      </c>
      <c r="G178" s="35" t="s">
        <v>25</v>
      </c>
      <c r="H178" s="35" t="s">
        <v>25</v>
      </c>
      <c r="I178" s="55">
        <v>44440</v>
      </c>
      <c r="J178" s="56">
        <f>EFEITO!$J$178*EFEITO!$Y$110</f>
        <v>0</v>
      </c>
      <c r="K178" s="56">
        <f ca="1">EFEITO!$L$178*EFEITO!$Z$178</f>
        <v>2275.7455794483958</v>
      </c>
      <c r="L178" s="56">
        <f>EFEITO!$N$178*EFEITO!$AA$178</f>
        <v>827.82901481575811</v>
      </c>
      <c r="M178" s="56">
        <f>$J$178-EFEITO!$K$178*EFEITO!$Y$178</f>
        <v>0</v>
      </c>
      <c r="N178" s="56">
        <f ca="1">$K$178-EFEITO!$M$178*EFEITO!$Z$178</f>
        <v>0</v>
      </c>
      <c r="O178" s="56">
        <f>$L$178-EFEITO!$O$178*EFEITO!$AA$178</f>
        <v>0</v>
      </c>
      <c r="P178" s="39"/>
      <c r="Q178" s="39"/>
      <c r="R178" s="39"/>
      <c r="S178" s="39"/>
      <c r="T178" s="39"/>
      <c r="U178" s="39"/>
      <c r="V178" s="39"/>
      <c r="W178" s="39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35" t="s">
        <v>21</v>
      </c>
      <c r="B179" s="35" t="s">
        <v>22</v>
      </c>
      <c r="C179" s="35" t="s">
        <v>23</v>
      </c>
      <c r="D179" s="35" t="s">
        <v>24</v>
      </c>
      <c r="E179" s="35" t="s">
        <v>32</v>
      </c>
      <c r="F179" s="35" t="s">
        <v>25</v>
      </c>
      <c r="G179" s="35" t="s">
        <v>25</v>
      </c>
      <c r="H179" s="35" t="s">
        <v>25</v>
      </c>
      <c r="I179" s="55">
        <v>44470</v>
      </c>
      <c r="J179" s="56">
        <f>EFEITO!$J$179*EFEITO!$Y$110</f>
        <v>0</v>
      </c>
      <c r="K179" s="56">
        <f ca="1">EFEITO!$L$179*EFEITO!$Z$178</f>
        <v>1205.3790980600766</v>
      </c>
      <c r="L179" s="56">
        <f>EFEITO!$N$179*EFEITO!$AA$178</f>
        <v>438.47071493310011</v>
      </c>
      <c r="M179" s="56">
        <f>$J$179-EFEITO!$K$179*EFEITO!$Y$179</f>
        <v>0</v>
      </c>
      <c r="N179" s="56">
        <f ca="1">$K$179-EFEITO!$M$179*EFEITO!$Z$179</f>
        <v>0</v>
      </c>
      <c r="O179" s="56">
        <f>$L$179-EFEITO!$O$179*EFEITO!$AA$179</f>
        <v>0</v>
      </c>
      <c r="P179" s="39"/>
      <c r="Q179" s="39"/>
      <c r="R179" s="39"/>
      <c r="S179" s="39"/>
      <c r="T179" s="39"/>
      <c r="U179" s="39"/>
      <c r="V179" s="39"/>
      <c r="W179" s="39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35" t="s">
        <v>21</v>
      </c>
      <c r="B180" s="35" t="s">
        <v>22</v>
      </c>
      <c r="C180" s="35" t="s">
        <v>23</v>
      </c>
      <c r="D180" s="35" t="s">
        <v>24</v>
      </c>
      <c r="E180" s="35" t="s">
        <v>32</v>
      </c>
      <c r="F180" s="35" t="s">
        <v>25</v>
      </c>
      <c r="G180" s="35" t="s">
        <v>25</v>
      </c>
      <c r="H180" s="35" t="s">
        <v>25</v>
      </c>
      <c r="I180" s="55">
        <v>44501</v>
      </c>
      <c r="J180" s="56">
        <f>EFEITO!$J$180*EFEITO!$Y$110</f>
        <v>0</v>
      </c>
      <c r="K180" s="56">
        <f ca="1">EFEITO!$L$180*EFEITO!$Z$178</f>
        <v>2001.0647386334417</v>
      </c>
      <c r="L180" s="56">
        <f>EFEITO!$N$180*EFEITO!$AA$178</f>
        <v>727.91065316141055</v>
      </c>
      <c r="M180" s="56">
        <f>$J$180-EFEITO!$K$180*EFEITO!$Y$180</f>
        <v>0</v>
      </c>
      <c r="N180" s="56">
        <f ca="1">$K$180-EFEITO!$M$180*EFEITO!$Z$180</f>
        <v>0</v>
      </c>
      <c r="O180" s="56">
        <f>$L$180-EFEITO!$O$180*EFEITO!$AA$180</f>
        <v>0</v>
      </c>
      <c r="P180" s="39"/>
      <c r="Q180" s="39"/>
      <c r="R180" s="39"/>
      <c r="S180" s="39"/>
      <c r="T180" s="39"/>
      <c r="U180" s="39"/>
      <c r="V180" s="39"/>
      <c r="W180" s="39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35" t="s">
        <v>21</v>
      </c>
      <c r="B181" s="35" t="s">
        <v>22</v>
      </c>
      <c r="C181" s="35" t="s">
        <v>23</v>
      </c>
      <c r="D181" s="35" t="s">
        <v>24</v>
      </c>
      <c r="E181" s="35" t="s">
        <v>32</v>
      </c>
      <c r="F181" s="35" t="s">
        <v>25</v>
      </c>
      <c r="G181" s="35" t="s">
        <v>25</v>
      </c>
      <c r="H181" s="35" t="s">
        <v>25</v>
      </c>
      <c r="I181" s="55">
        <v>44531</v>
      </c>
      <c r="J181" s="56">
        <f>EFEITO!$J$181*EFEITO!$Y$110</f>
        <v>0</v>
      </c>
      <c r="K181" s="56">
        <f ca="1">EFEITO!$L$181*EFEITO!$Z$178</f>
        <v>3302.0954083794654</v>
      </c>
      <c r="L181" s="56">
        <f>EFEITO!$N$181*EFEITO!$AA$178</f>
        <v>1201.1757436474884</v>
      </c>
      <c r="M181" s="56">
        <f>$J$181-EFEITO!$K$181*EFEITO!$Y$181</f>
        <v>0</v>
      </c>
      <c r="N181" s="56">
        <f ca="1">$K$181-EFEITO!$M$181*EFEITO!$Z$181</f>
        <v>0</v>
      </c>
      <c r="O181" s="56">
        <f>$L$181-EFEITO!$O$181*EFEITO!$AA$181</f>
        <v>0</v>
      </c>
      <c r="P181" s="39"/>
      <c r="Q181" s="39"/>
      <c r="R181" s="39"/>
      <c r="S181" s="39"/>
      <c r="T181" s="39"/>
      <c r="U181" s="39"/>
      <c r="V181" s="39"/>
      <c r="W181" s="39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35" t="s">
        <v>21</v>
      </c>
      <c r="B182" s="35" t="s">
        <v>22</v>
      </c>
      <c r="C182" s="35" t="s">
        <v>23</v>
      </c>
      <c r="D182" s="35" t="s">
        <v>24</v>
      </c>
      <c r="E182" s="35" t="s">
        <v>32</v>
      </c>
      <c r="F182" s="35" t="s">
        <v>25</v>
      </c>
      <c r="G182" s="35" t="s">
        <v>25</v>
      </c>
      <c r="H182" s="35" t="s">
        <v>25</v>
      </c>
      <c r="I182" s="55">
        <v>44562</v>
      </c>
      <c r="J182" s="56">
        <f>EFEITO!$J$182*EFEITO!$Y$110</f>
        <v>0</v>
      </c>
      <c r="K182" s="56">
        <f ca="1">EFEITO!$L$182*EFEITO!$Z$178</f>
        <v>4431.2918387250711</v>
      </c>
      <c r="L182" s="56">
        <f>EFEITO!$N$182*EFEITO!$AA$178</f>
        <v>1611.9341240693675</v>
      </c>
      <c r="M182" s="56">
        <f>$J$182-EFEITO!$K$182*EFEITO!$Y$182</f>
        <v>0</v>
      </c>
      <c r="N182" s="56">
        <f ca="1">$K$182-EFEITO!$M$182*EFEITO!$Z$182</f>
        <v>0</v>
      </c>
      <c r="O182" s="56">
        <f>$L$182-EFEITO!$O$182*EFEITO!$AA$182</f>
        <v>0</v>
      </c>
      <c r="P182" s="39"/>
      <c r="Q182" s="39"/>
      <c r="R182" s="39"/>
      <c r="S182" s="39"/>
      <c r="T182" s="39"/>
      <c r="U182" s="39"/>
      <c r="V182" s="39"/>
      <c r="W182" s="39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35" t="s">
        <v>21</v>
      </c>
      <c r="B183" s="35" t="s">
        <v>22</v>
      </c>
      <c r="C183" s="35" t="s">
        <v>23</v>
      </c>
      <c r="D183" s="35" t="s">
        <v>24</v>
      </c>
      <c r="E183" s="35" t="s">
        <v>32</v>
      </c>
      <c r="F183" s="35" t="s">
        <v>25</v>
      </c>
      <c r="G183" s="35" t="s">
        <v>25</v>
      </c>
      <c r="H183" s="35" t="s">
        <v>25</v>
      </c>
      <c r="I183" s="55">
        <v>44593</v>
      </c>
      <c r="J183" s="56">
        <f>EFEITO!$J$183*EFEITO!$Y$110</f>
        <v>0</v>
      </c>
      <c r="K183" s="56">
        <f ca="1">EFEITO!$L$183*EFEITO!$Z$178</f>
        <v>6044.6714461004267</v>
      </c>
      <c r="L183" s="56">
        <f>EFEITO!$N$183*EFEITO!$AA$178</f>
        <v>2198.819786051452</v>
      </c>
      <c r="M183" s="56">
        <f>$J$183-EFEITO!$K$183*EFEITO!$Y$183</f>
        <v>0</v>
      </c>
      <c r="N183" s="56">
        <f ca="1">$K$183-EFEITO!$M$183*EFEITO!$Z$183</f>
        <v>0</v>
      </c>
      <c r="O183" s="56">
        <f>$L$183-EFEITO!$O$183*EFEITO!$AA$183</f>
        <v>0</v>
      </c>
      <c r="P183" s="39"/>
      <c r="Q183" s="39"/>
      <c r="R183" s="39"/>
      <c r="S183" s="39"/>
      <c r="T183" s="39"/>
      <c r="U183" s="39"/>
      <c r="V183" s="39"/>
      <c r="W183" s="39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35" t="s">
        <v>21</v>
      </c>
      <c r="B184" s="35" t="s">
        <v>22</v>
      </c>
      <c r="C184" s="35" t="s">
        <v>23</v>
      </c>
      <c r="D184" s="35" t="s">
        <v>24</v>
      </c>
      <c r="E184" s="35" t="s">
        <v>32</v>
      </c>
      <c r="F184" s="35" t="s">
        <v>25</v>
      </c>
      <c r="G184" s="35" t="s">
        <v>25</v>
      </c>
      <c r="H184" s="35" t="s">
        <v>25</v>
      </c>
      <c r="I184" s="55">
        <v>44621</v>
      </c>
      <c r="J184" s="56">
        <f>EFEITO!$J$184*EFEITO!$Y$110</f>
        <v>0</v>
      </c>
      <c r="K184" s="56">
        <f ca="1">EFEITO!$L$184*EFEITO!$Z$178</f>
        <v>6691.3776475877148</v>
      </c>
      <c r="L184" s="56">
        <f>EFEITO!$N$184*EFEITO!$AA$178</f>
        <v>2434.0667145689299</v>
      </c>
      <c r="M184" s="56">
        <f>$J$184-EFEITO!$K$184*EFEITO!$Y$184</f>
        <v>0</v>
      </c>
      <c r="N184" s="56">
        <f ca="1">$K$184-EFEITO!$M$184*EFEITO!$Z$184</f>
        <v>0</v>
      </c>
      <c r="O184" s="56">
        <f>$L$184-EFEITO!$O$184*EFEITO!$AA$184</f>
        <v>0</v>
      </c>
      <c r="P184" s="39"/>
      <c r="Q184" s="39"/>
      <c r="R184" s="39"/>
      <c r="S184" s="39"/>
      <c r="T184" s="39"/>
      <c r="U184" s="39"/>
      <c r="V184" s="39"/>
      <c r="W184" s="39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35" t="s">
        <v>21</v>
      </c>
      <c r="B185" s="35" t="s">
        <v>22</v>
      </c>
      <c r="C185" s="35" t="s">
        <v>23</v>
      </c>
      <c r="D185" s="35" t="s">
        <v>24</v>
      </c>
      <c r="E185" s="35" t="s">
        <v>32</v>
      </c>
      <c r="F185" s="35" t="s">
        <v>25</v>
      </c>
      <c r="G185" s="35" t="s">
        <v>25</v>
      </c>
      <c r="H185" s="35" t="s">
        <v>25</v>
      </c>
      <c r="I185" s="55">
        <v>44652</v>
      </c>
      <c r="J185" s="56">
        <f>EFEITO!$J$185*EFEITO!$Y$110</f>
        <v>0</v>
      </c>
      <c r="K185" s="56">
        <f ca="1">EFEITO!$L$185*EFEITO!$Z$178</f>
        <v>5137.6744632553618</v>
      </c>
      <c r="L185" s="56">
        <f>EFEITO!$N$185*EFEITO!$AA$178</f>
        <v>1868.8890479539684</v>
      </c>
      <c r="M185" s="56">
        <f>$J$185-EFEITO!$K$185*EFEITO!$Y$185</f>
        <v>0</v>
      </c>
      <c r="N185" s="56">
        <f ca="1">$K$185-EFEITO!$M$185*EFEITO!$Z$185</f>
        <v>0</v>
      </c>
      <c r="O185" s="56">
        <f>$L$185-EFEITO!$O$185*EFEITO!$AA$185</f>
        <v>0</v>
      </c>
      <c r="P185" s="39"/>
      <c r="Q185" s="39"/>
      <c r="R185" s="39"/>
      <c r="S185" s="39"/>
      <c r="T185" s="39"/>
      <c r="U185" s="39"/>
      <c r="V185" s="39"/>
      <c r="W185" s="39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35" t="s">
        <v>21</v>
      </c>
      <c r="B186" s="35" t="s">
        <v>22</v>
      </c>
      <c r="C186" s="35" t="s">
        <v>23</v>
      </c>
      <c r="D186" s="35" t="s">
        <v>24</v>
      </c>
      <c r="E186" s="35" t="s">
        <v>32</v>
      </c>
      <c r="F186" s="35" t="s">
        <v>25</v>
      </c>
      <c r="G186" s="35" t="s">
        <v>25</v>
      </c>
      <c r="H186" s="35" t="s">
        <v>25</v>
      </c>
      <c r="I186" s="55">
        <v>44682</v>
      </c>
      <c r="J186" s="56">
        <f>EFEITO!$J$186*EFEITO!$Y$110</f>
        <v>0</v>
      </c>
      <c r="K186" s="56">
        <f ca="1">EFEITO!$L$186*EFEITO!$Z$178</f>
        <v>3284.319452579422</v>
      </c>
      <c r="L186" s="56">
        <f>EFEITO!$N$186*EFEITO!$AA$178</f>
        <v>1194.7095322615369</v>
      </c>
      <c r="M186" s="56">
        <f>$J$186-EFEITO!$K$186*EFEITO!$Y$186</f>
        <v>0</v>
      </c>
      <c r="N186" s="56">
        <f ca="1">$K$186-EFEITO!$M$186*EFEITO!$Z$186</f>
        <v>0</v>
      </c>
      <c r="O186" s="56">
        <f>$L$186-EFEITO!$O$186*EFEITO!$AA$186</f>
        <v>0</v>
      </c>
      <c r="P186" s="39"/>
      <c r="Q186" s="39"/>
      <c r="R186" s="39"/>
      <c r="S186" s="39"/>
      <c r="T186" s="39"/>
      <c r="U186" s="39"/>
      <c r="V186" s="39"/>
      <c r="W186" s="39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35" t="s">
        <v>21</v>
      </c>
      <c r="B187" s="35" t="s">
        <v>22</v>
      </c>
      <c r="C187" s="35" t="s">
        <v>23</v>
      </c>
      <c r="D187" s="35" t="s">
        <v>24</v>
      </c>
      <c r="E187" s="35" t="s">
        <v>32</v>
      </c>
      <c r="F187" s="35" t="s">
        <v>25</v>
      </c>
      <c r="G187" s="35" t="s">
        <v>25</v>
      </c>
      <c r="H187" s="35" t="s">
        <v>25</v>
      </c>
      <c r="I187" s="55">
        <v>44713</v>
      </c>
      <c r="J187" s="56">
        <f>EFEITO!$J$187*EFEITO!$Y$110</f>
        <v>0</v>
      </c>
      <c r="K187" s="56">
        <f ca="1">EFEITO!$L$187*EFEITO!$Z$178</f>
        <v>4501.1259507966697</v>
      </c>
      <c r="L187" s="56">
        <f>EFEITO!$N$187*EFEITO!$AA$178</f>
        <v>1637.3370973713202</v>
      </c>
      <c r="M187" s="56">
        <f>$J$187-EFEITO!$K$187*EFEITO!$Y$187</f>
        <v>0</v>
      </c>
      <c r="N187" s="56">
        <f ca="1">$K$187-EFEITO!$M$187*EFEITO!$Z$187</f>
        <v>0</v>
      </c>
      <c r="O187" s="56">
        <f>$L$187-EFEITO!$O$187*EFEITO!$AA$187</f>
        <v>0</v>
      </c>
      <c r="P187" s="39"/>
      <c r="Q187" s="39"/>
      <c r="R187" s="39"/>
      <c r="S187" s="39"/>
      <c r="T187" s="39"/>
      <c r="U187" s="39"/>
      <c r="V187" s="39"/>
      <c r="W187" s="39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35" t="s">
        <v>21</v>
      </c>
      <c r="B188" s="35" t="s">
        <v>22</v>
      </c>
      <c r="C188" s="35" t="s">
        <v>23</v>
      </c>
      <c r="D188" s="35" t="s">
        <v>24</v>
      </c>
      <c r="E188" s="35" t="s">
        <v>32</v>
      </c>
      <c r="F188" s="35" t="s">
        <v>25</v>
      </c>
      <c r="G188" s="35" t="s">
        <v>25</v>
      </c>
      <c r="H188" s="35" t="s">
        <v>25</v>
      </c>
      <c r="I188" s="55">
        <v>44743</v>
      </c>
      <c r="J188" s="56">
        <f>EFEITO!$J$188*EFEITO!$Y$110</f>
        <v>0</v>
      </c>
      <c r="K188" s="56">
        <f ca="1">EFEITO!$L$188*EFEITO!$Z$178</f>
        <v>1824.9981288044419</v>
      </c>
      <c r="L188" s="56">
        <f>EFEITO!$N$188*EFEITO!$AA$178</f>
        <v>663.86436895769941</v>
      </c>
      <c r="M188" s="56">
        <f>$J$188-EFEITO!$K$188*EFEITO!$Y$188</f>
        <v>0</v>
      </c>
      <c r="N188" s="56">
        <f ca="1">$K$188-EFEITO!$M$188*EFEITO!$Z$188</f>
        <v>0</v>
      </c>
      <c r="O188" s="56">
        <f>$L$188-EFEITO!$O$188*EFEITO!$AA$188</f>
        <v>0</v>
      </c>
      <c r="P188" s="39"/>
      <c r="Q188" s="39"/>
      <c r="R188" s="39"/>
      <c r="S188" s="39"/>
      <c r="T188" s="39"/>
      <c r="U188" s="39"/>
      <c r="V188" s="39"/>
      <c r="W188" s="39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35" t="s">
        <v>21</v>
      </c>
      <c r="B189" s="35" t="s">
        <v>22</v>
      </c>
      <c r="C189" s="35" t="s">
        <v>23</v>
      </c>
      <c r="D189" s="35" t="s">
        <v>24</v>
      </c>
      <c r="E189" s="35" t="s">
        <v>32</v>
      </c>
      <c r="F189" s="35" t="s">
        <v>25</v>
      </c>
      <c r="G189" s="35" t="s">
        <v>25</v>
      </c>
      <c r="H189" s="35" t="s">
        <v>25</v>
      </c>
      <c r="I189" s="55">
        <v>44774</v>
      </c>
      <c r="J189" s="56">
        <f>EFEITO!$J$189*EFEITO!$Y$110</f>
        <v>0</v>
      </c>
      <c r="K189" s="56">
        <f ca="1">EFEITO!$L$189*EFEITO!$Z$178</f>
        <v>2976.2028853786724</v>
      </c>
      <c r="L189" s="56">
        <f>EFEITO!$N$189*EFEITO!$AA$178</f>
        <v>1082.6285349050422</v>
      </c>
      <c r="M189" s="56">
        <f>$J$189-EFEITO!$K$189*EFEITO!$Y$189</f>
        <v>0</v>
      </c>
      <c r="N189" s="56">
        <f ca="1">$K$189-EFEITO!$M$189*EFEITO!$Z$189</f>
        <v>0</v>
      </c>
      <c r="O189" s="56">
        <f>$L$189-EFEITO!$O$189*EFEITO!$AA$189</f>
        <v>0</v>
      </c>
      <c r="P189" s="39"/>
      <c r="Q189" s="39"/>
      <c r="R189" s="39"/>
      <c r="S189" s="39"/>
      <c r="T189" s="39"/>
      <c r="U189" s="39"/>
      <c r="V189" s="39"/>
      <c r="W189" s="39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35" t="s">
        <v>21</v>
      </c>
      <c r="B190" s="35" t="s">
        <v>40</v>
      </c>
      <c r="C190" s="35" t="s">
        <v>23</v>
      </c>
      <c r="D190" s="35" t="s">
        <v>41</v>
      </c>
      <c r="E190" s="35" t="s">
        <v>53</v>
      </c>
      <c r="F190" s="35" t="s">
        <v>51</v>
      </c>
      <c r="G190" s="35" t="s">
        <v>25</v>
      </c>
      <c r="H190" s="35" t="s">
        <v>25</v>
      </c>
      <c r="I190" s="55">
        <v>44531</v>
      </c>
      <c r="J190" s="56">
        <f>EFEITO!$J$190*EFEITO!$Y$110</f>
        <v>0</v>
      </c>
      <c r="K190" s="56">
        <f ca="1">EFEITO!$L$190*EFEITO!$Z$110</f>
        <v>552.49138373669336</v>
      </c>
      <c r="L190" s="56">
        <f>EFEITO!$N$190*EFEITO!$AA$110</f>
        <v>160.57758275113181</v>
      </c>
      <c r="M190" s="56">
        <f>$J$190-EFEITO!$K$190*EFEITO!$Y$190</f>
        <v>0</v>
      </c>
      <c r="N190" s="56">
        <f ca="1">$K$190-EFEITO!$M$190*EFEITO!$Z$190</f>
        <v>33.149483024201572</v>
      </c>
      <c r="O190" s="56">
        <f>$L$190-EFEITO!$O$190*EFEITO!$AA$190</f>
        <v>9.6346549650679378</v>
      </c>
      <c r="P190" s="39"/>
      <c r="Q190" s="39"/>
      <c r="R190" s="39"/>
      <c r="S190" s="39"/>
      <c r="T190" s="39"/>
      <c r="U190" s="39"/>
      <c r="V190" s="39"/>
      <c r="W190" s="39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35" t="s">
        <v>21</v>
      </c>
      <c r="B191" s="35" t="s">
        <v>40</v>
      </c>
      <c r="C191" s="35" t="s">
        <v>23</v>
      </c>
      <c r="D191" s="35" t="s">
        <v>41</v>
      </c>
      <c r="E191" s="35" t="s">
        <v>53</v>
      </c>
      <c r="F191" s="35" t="s">
        <v>51</v>
      </c>
      <c r="G191" s="35" t="s">
        <v>25</v>
      </c>
      <c r="H191" s="35" t="s">
        <v>25</v>
      </c>
      <c r="I191" s="55">
        <v>44562</v>
      </c>
      <c r="J191" s="56">
        <f>EFEITO!$J$191*EFEITO!$Y$110</f>
        <v>0</v>
      </c>
      <c r="K191" s="56">
        <f ca="1">EFEITO!$L$191*EFEITO!$Z$110</f>
        <v>625.59187362707087</v>
      </c>
      <c r="L191" s="56">
        <f>EFEITO!$N$191*EFEITO!$AA$110</f>
        <v>181.82370587640142</v>
      </c>
      <c r="M191" s="56">
        <f>$J$191-EFEITO!$K$191*EFEITO!$Y$191</f>
        <v>0</v>
      </c>
      <c r="N191" s="56">
        <f ca="1">$K$191-EFEITO!$M$191*EFEITO!$Z$191</f>
        <v>37.535512417624204</v>
      </c>
      <c r="O191" s="56">
        <f>$L$191-EFEITO!$O$191*EFEITO!$AA$191</f>
        <v>10.909422352584102</v>
      </c>
      <c r="P191" s="39"/>
      <c r="Q191" s="39"/>
      <c r="R191" s="39"/>
      <c r="S191" s="39"/>
      <c r="T191" s="39"/>
      <c r="U191" s="39"/>
      <c r="V191" s="39"/>
      <c r="W191" s="39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35" t="s">
        <v>21</v>
      </c>
      <c r="B192" s="35" t="s">
        <v>40</v>
      </c>
      <c r="C192" s="35" t="s">
        <v>23</v>
      </c>
      <c r="D192" s="35" t="s">
        <v>41</v>
      </c>
      <c r="E192" s="35" t="s">
        <v>53</v>
      </c>
      <c r="F192" s="35" t="s">
        <v>51</v>
      </c>
      <c r="G192" s="35" t="s">
        <v>25</v>
      </c>
      <c r="H192" s="35" t="s">
        <v>25</v>
      </c>
      <c r="I192" s="55">
        <v>44593</v>
      </c>
      <c r="J192" s="56">
        <f>EFEITO!$J$192*EFEITO!$Y$110</f>
        <v>0</v>
      </c>
      <c r="K192" s="56">
        <f ca="1">EFEITO!$L$192*EFEITO!$Z$110</f>
        <v>476.74232537202693</v>
      </c>
      <c r="L192" s="56">
        <f>EFEITO!$N$192*EFEITO!$AA$110</f>
        <v>138.56167255610609</v>
      </c>
      <c r="M192" s="56">
        <f>$J$192-EFEITO!$K$192*EFEITO!$Y$192</f>
        <v>0</v>
      </c>
      <c r="N192" s="56">
        <f ca="1">$K$192-EFEITO!$M$192*EFEITO!$Z$192</f>
        <v>28.604539522321602</v>
      </c>
      <c r="O192" s="56">
        <f>$L$192-EFEITO!$O$192*EFEITO!$AA$192</f>
        <v>8.3137003533663858</v>
      </c>
      <c r="P192" s="39"/>
      <c r="Q192" s="39"/>
      <c r="R192" s="39"/>
      <c r="S192" s="39"/>
      <c r="T192" s="39"/>
      <c r="U192" s="39"/>
      <c r="V192" s="39"/>
      <c r="W192" s="39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35" t="s">
        <v>21</v>
      </c>
      <c r="B193" s="35" t="s">
        <v>40</v>
      </c>
      <c r="C193" s="35" t="s">
        <v>23</v>
      </c>
      <c r="D193" s="35" t="s">
        <v>41</v>
      </c>
      <c r="E193" s="35" t="s">
        <v>53</v>
      </c>
      <c r="F193" s="35" t="s">
        <v>51</v>
      </c>
      <c r="G193" s="35" t="s">
        <v>25</v>
      </c>
      <c r="H193" s="35" t="s">
        <v>25</v>
      </c>
      <c r="I193" s="55">
        <v>44621</v>
      </c>
      <c r="J193" s="56">
        <f>EFEITO!$J$193*EFEITO!$Y$110</f>
        <v>0</v>
      </c>
      <c r="K193" s="56">
        <f ca="1">EFEITO!$L$193*EFEITO!$Z$110</f>
        <v>58.798220129216652</v>
      </c>
      <c r="L193" s="56">
        <f>EFEITO!$N$193*EFEITO!$AA$110</f>
        <v>17.089272948586416</v>
      </c>
      <c r="M193" s="56">
        <f>$J$193-EFEITO!$K$193*EFEITO!$Y$193</f>
        <v>0</v>
      </c>
      <c r="N193" s="56">
        <f ca="1">$K$193-EFEITO!$M$193*EFEITO!$Z$193</f>
        <v>3.5278932077529959</v>
      </c>
      <c r="O193" s="56">
        <f>$L$193-EFEITO!$O$193*EFEITO!$AA$193</f>
        <v>1.0253563769151874</v>
      </c>
      <c r="P193" s="39"/>
      <c r="Q193" s="39"/>
      <c r="R193" s="39"/>
      <c r="S193" s="39"/>
      <c r="T193" s="39"/>
      <c r="U193" s="39"/>
      <c r="V193" s="39"/>
      <c r="W193" s="39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35" t="s">
        <v>21</v>
      </c>
      <c r="B194" s="35" t="s">
        <v>40</v>
      </c>
      <c r="C194" s="35" t="s">
        <v>23</v>
      </c>
      <c r="D194" s="35" t="s">
        <v>41</v>
      </c>
      <c r="E194" s="35" t="s">
        <v>53</v>
      </c>
      <c r="F194" s="35" t="s">
        <v>51</v>
      </c>
      <c r="G194" s="35" t="s">
        <v>25</v>
      </c>
      <c r="H194" s="35" t="s">
        <v>25</v>
      </c>
      <c r="I194" s="55">
        <v>44652</v>
      </c>
      <c r="J194" s="56">
        <f>EFEITO!$J$194*EFEITO!$Y$110</f>
        <v>0</v>
      </c>
      <c r="K194" s="56">
        <f ca="1">EFEITO!$L$194*EFEITO!$Z$110</f>
        <v>52.97136948578077</v>
      </c>
      <c r="L194" s="56">
        <f>EFEITO!$N$194*EFEITO!$AA$110</f>
        <v>15.395741395122897</v>
      </c>
      <c r="M194" s="56">
        <f>$J$194-EFEITO!$K$194*EFEITO!$Y$194</f>
        <v>0</v>
      </c>
      <c r="N194" s="56">
        <f ca="1">$K$194-EFEITO!$M$194*EFEITO!$Z$194</f>
        <v>3.178282169146847</v>
      </c>
      <c r="O194" s="56">
        <f>$L$194-EFEITO!$O$194*EFEITO!$AA$194</f>
        <v>0.92374448370737383</v>
      </c>
      <c r="P194" s="39"/>
      <c r="Q194" s="39"/>
      <c r="R194" s="39"/>
      <c r="S194" s="39"/>
      <c r="T194" s="39"/>
      <c r="U194" s="39"/>
      <c r="V194" s="39"/>
      <c r="W194" s="39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35" t="s">
        <v>21</v>
      </c>
      <c r="B195" s="35" t="s">
        <v>40</v>
      </c>
      <c r="C195" s="35" t="s">
        <v>23</v>
      </c>
      <c r="D195" s="35" t="s">
        <v>41</v>
      </c>
      <c r="E195" s="35" t="s">
        <v>53</v>
      </c>
      <c r="F195" s="35" t="s">
        <v>52</v>
      </c>
      <c r="G195" s="35" t="s">
        <v>25</v>
      </c>
      <c r="H195" s="35" t="s">
        <v>25</v>
      </c>
      <c r="I195" s="55">
        <v>44531</v>
      </c>
      <c r="J195" s="56">
        <f>EFEITO!$J$195*EFEITO!$Y$110</f>
        <v>0</v>
      </c>
      <c r="K195" s="56">
        <f ca="1">EFEITO!$L$195*EFEITO!$Z$110</f>
        <v>177.9838014722234</v>
      </c>
      <c r="L195" s="56">
        <f>EFEITO!$N$195*EFEITO!$AA$110</f>
        <v>51.729691087612935</v>
      </c>
      <c r="M195" s="56">
        <f>$J$195-EFEITO!$K$195*EFEITO!$Y$195</f>
        <v>0</v>
      </c>
      <c r="N195" s="56">
        <f ca="1">$K$195-EFEITO!$M$195*EFEITO!$Z$195</f>
        <v>111.06189211866742</v>
      </c>
      <c r="O195" s="56">
        <f>$L$195-EFEITO!$O$195*EFEITO!$AA$195</f>
        <v>32.279327238670476</v>
      </c>
      <c r="P195" s="39"/>
      <c r="Q195" s="39"/>
      <c r="R195" s="39"/>
      <c r="S195" s="39"/>
      <c r="T195" s="39"/>
      <c r="U195" s="39"/>
      <c r="V195" s="39"/>
      <c r="W195" s="39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35" t="s">
        <v>21</v>
      </c>
      <c r="B196" s="35" t="s">
        <v>40</v>
      </c>
      <c r="C196" s="35" t="s">
        <v>23</v>
      </c>
      <c r="D196" s="35" t="s">
        <v>41</v>
      </c>
      <c r="E196" s="35" t="s">
        <v>53</v>
      </c>
      <c r="F196" s="35" t="s">
        <v>52</v>
      </c>
      <c r="G196" s="35" t="s">
        <v>25</v>
      </c>
      <c r="H196" s="35" t="s">
        <v>25</v>
      </c>
      <c r="I196" s="55">
        <v>44562</v>
      </c>
      <c r="J196" s="56">
        <f>EFEITO!$J$196*EFEITO!$Y$110</f>
        <v>0</v>
      </c>
      <c r="K196" s="56">
        <f ca="1">EFEITO!$L$196*EFEITO!$Z$110</f>
        <v>45.025664062913656</v>
      </c>
      <c r="L196" s="56">
        <f>EFEITO!$N$196*EFEITO!$AA$110</f>
        <v>13.086380185854464</v>
      </c>
      <c r="M196" s="56">
        <f>$J$196-EFEITO!$K$196*EFEITO!$Y$196</f>
        <v>0</v>
      </c>
      <c r="N196" s="56">
        <f ca="1">$K$196-EFEITO!$M$196*EFEITO!$Z$196</f>
        <v>28.096014375258122</v>
      </c>
      <c r="O196" s="56">
        <f>$L$196-EFEITO!$O$196*EFEITO!$AA$196</f>
        <v>8.1659012359731875</v>
      </c>
      <c r="P196" s="39"/>
      <c r="Q196" s="39"/>
      <c r="R196" s="39"/>
      <c r="S196" s="39"/>
      <c r="T196" s="39"/>
      <c r="U196" s="39"/>
      <c r="V196" s="39"/>
      <c r="W196" s="39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35" t="s">
        <v>21</v>
      </c>
      <c r="B197" s="35" t="s">
        <v>40</v>
      </c>
      <c r="C197" s="35" t="s">
        <v>23</v>
      </c>
      <c r="D197" s="35" t="s">
        <v>41</v>
      </c>
      <c r="E197" s="35" t="s">
        <v>53</v>
      </c>
      <c r="F197" s="35" t="s">
        <v>52</v>
      </c>
      <c r="G197" s="35" t="s">
        <v>25</v>
      </c>
      <c r="H197" s="35" t="s">
        <v>25</v>
      </c>
      <c r="I197" s="55">
        <v>44593</v>
      </c>
      <c r="J197" s="56">
        <f>EFEITO!$J$197*EFEITO!$Y$110</f>
        <v>0</v>
      </c>
      <c r="K197" s="56">
        <f ca="1">EFEITO!$L$197*EFEITO!$Z$110</f>
        <v>43.96623667319804</v>
      </c>
      <c r="L197" s="56">
        <f>EFEITO!$N$197*EFEITO!$AA$110</f>
        <v>12.778465357952005</v>
      </c>
      <c r="M197" s="56">
        <f>$J$197-EFEITO!$K$197*EFEITO!$Y$197</f>
        <v>0</v>
      </c>
      <c r="N197" s="56">
        <f ca="1">$K$197-EFEITO!$M$197*EFEITO!$Z$197</f>
        <v>27.434931684075579</v>
      </c>
      <c r="O197" s="56">
        <f>$L$197-EFEITO!$O$197*EFEITO!$AA$197</f>
        <v>7.9737623833620512</v>
      </c>
      <c r="P197" s="39"/>
      <c r="Q197" s="39"/>
      <c r="R197" s="39"/>
      <c r="S197" s="39"/>
      <c r="T197" s="39"/>
      <c r="U197" s="39"/>
      <c r="V197" s="39"/>
      <c r="W197" s="39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35" t="s">
        <v>21</v>
      </c>
      <c r="B198" s="35" t="s">
        <v>40</v>
      </c>
      <c r="C198" s="35" t="s">
        <v>23</v>
      </c>
      <c r="D198" s="35" t="s">
        <v>41</v>
      </c>
      <c r="E198" s="35" t="s">
        <v>50</v>
      </c>
      <c r="F198" s="35" t="s">
        <v>51</v>
      </c>
      <c r="G198" s="35" t="s">
        <v>25</v>
      </c>
      <c r="H198" s="35" t="s">
        <v>25</v>
      </c>
      <c r="I198" s="55">
        <v>44440</v>
      </c>
      <c r="J198" s="56">
        <f>EFEITO!$J$198*EFEITO!$Y$110</f>
        <v>0</v>
      </c>
      <c r="K198" s="56">
        <f ca="1">EFEITO!$L$198*EFEITO!$Z$110</f>
        <v>53.501083180638581</v>
      </c>
      <c r="L198" s="56">
        <f>EFEITO!$N$198*EFEITO!$AA$110</f>
        <v>15.549698809074128</v>
      </c>
      <c r="M198" s="56">
        <f>$J$198-EFEITO!$K$198*EFEITO!$Y$198</f>
        <v>0</v>
      </c>
      <c r="N198" s="56">
        <f ca="1">$K$198-EFEITO!$M$198*EFEITO!$Z$198</f>
        <v>3.210064990838319</v>
      </c>
      <c r="O198" s="56">
        <f>$L$198-EFEITO!$O$198*EFEITO!$AA$198</f>
        <v>0.93298192854445006</v>
      </c>
      <c r="P198" s="39"/>
      <c r="Q198" s="39"/>
      <c r="R198" s="39"/>
      <c r="S198" s="39"/>
      <c r="T198" s="39"/>
      <c r="U198" s="39"/>
      <c r="V198" s="39"/>
      <c r="W198" s="39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35" t="s">
        <v>21</v>
      </c>
      <c r="B199" s="35" t="s">
        <v>40</v>
      </c>
      <c r="C199" s="35" t="s">
        <v>23</v>
      </c>
      <c r="D199" s="35" t="s">
        <v>41</v>
      </c>
      <c r="E199" s="35" t="s">
        <v>50</v>
      </c>
      <c r="F199" s="35" t="s">
        <v>51</v>
      </c>
      <c r="G199" s="35" t="s">
        <v>25</v>
      </c>
      <c r="H199" s="35" t="s">
        <v>25</v>
      </c>
      <c r="I199" s="55">
        <v>44470</v>
      </c>
      <c r="J199" s="56">
        <f>EFEITO!$J$199*EFEITO!$Y$110</f>
        <v>0</v>
      </c>
      <c r="K199" s="56">
        <f ca="1">EFEITO!$L$199*EFEITO!$Z$110</f>
        <v>46.614805147487075</v>
      </c>
      <c r="L199" s="56">
        <f>EFEITO!$N$199*EFEITO!$AA$110</f>
        <v>13.54825242770815</v>
      </c>
      <c r="M199" s="56">
        <f>$J$199-EFEITO!$K$199*EFEITO!$Y$199</f>
        <v>0</v>
      </c>
      <c r="N199" s="56">
        <f ca="1">$K$199-EFEITO!$M$199*EFEITO!$Z$199</f>
        <v>2.7968883088492262</v>
      </c>
      <c r="O199" s="56">
        <f>$L$199-EFEITO!$O$199*EFEITO!$AA$199</f>
        <v>0.8128951456624911</v>
      </c>
      <c r="P199" s="39"/>
      <c r="Q199" s="39"/>
      <c r="R199" s="39"/>
      <c r="S199" s="39"/>
      <c r="T199" s="39"/>
      <c r="U199" s="39"/>
      <c r="V199" s="39"/>
      <c r="W199" s="39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35" t="s">
        <v>21</v>
      </c>
      <c r="B200" s="35" t="s">
        <v>40</v>
      </c>
      <c r="C200" s="35" t="s">
        <v>23</v>
      </c>
      <c r="D200" s="35" t="s">
        <v>41</v>
      </c>
      <c r="E200" s="35" t="s">
        <v>50</v>
      </c>
      <c r="F200" s="35" t="s">
        <v>51</v>
      </c>
      <c r="G200" s="35" t="s">
        <v>25</v>
      </c>
      <c r="H200" s="35" t="s">
        <v>25</v>
      </c>
      <c r="I200" s="55">
        <v>44501</v>
      </c>
      <c r="J200" s="56">
        <f>EFEITO!$J$200*EFEITO!$Y$110</f>
        <v>0</v>
      </c>
      <c r="K200" s="56">
        <f ca="1">EFEITO!$L$200*EFEITO!$Z$110</f>
        <v>65.684498162368158</v>
      </c>
      <c r="L200" s="56">
        <f>EFEITO!$N$200*EFEITO!$AA$110</f>
        <v>19.090719329952393</v>
      </c>
      <c r="M200" s="56">
        <f>$J$200-EFEITO!$K$200*EFEITO!$Y$200</f>
        <v>0</v>
      </c>
      <c r="N200" s="56">
        <f ca="1">$K$200-EFEITO!$M$200*EFEITO!$Z$200</f>
        <v>3.9410698897420957</v>
      </c>
      <c r="O200" s="56">
        <f>$L$200-EFEITO!$O$200*EFEITO!$AA$200</f>
        <v>1.1454431597971464</v>
      </c>
      <c r="P200" s="39"/>
      <c r="Q200" s="39"/>
      <c r="R200" s="39"/>
      <c r="S200" s="39"/>
      <c r="T200" s="39"/>
      <c r="U200" s="39"/>
      <c r="V200" s="39"/>
      <c r="W200" s="39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35" t="s">
        <v>21</v>
      </c>
      <c r="B201" s="35" t="s">
        <v>40</v>
      </c>
      <c r="C201" s="35" t="s">
        <v>23</v>
      </c>
      <c r="D201" s="35" t="s">
        <v>41</v>
      </c>
      <c r="E201" s="35" t="s">
        <v>50</v>
      </c>
      <c r="F201" s="35" t="s">
        <v>51</v>
      </c>
      <c r="G201" s="35" t="s">
        <v>25</v>
      </c>
      <c r="H201" s="35" t="s">
        <v>25</v>
      </c>
      <c r="I201" s="55">
        <v>44531</v>
      </c>
      <c r="J201" s="56">
        <f>EFEITO!$J$201*EFEITO!$Y$110</f>
        <v>0</v>
      </c>
      <c r="K201" s="56">
        <f ca="1">EFEITO!$L$201*EFEITO!$Z$110</f>
        <v>263.79742003918824</v>
      </c>
      <c r="L201" s="56">
        <f>EFEITO!$N$201*EFEITO!$AA$110</f>
        <v>76.670792147712021</v>
      </c>
      <c r="M201" s="56">
        <f>$J$201-EFEITO!$K$201*EFEITO!$Y$201</f>
        <v>0</v>
      </c>
      <c r="N201" s="56">
        <f ca="1">$K$201-EFEITO!$M$201*EFEITO!$Z$201</f>
        <v>15.827845202351313</v>
      </c>
      <c r="O201" s="56">
        <f>$L$201-EFEITO!$O$201*EFEITO!$AA$201</f>
        <v>4.6002475288627238</v>
      </c>
      <c r="P201" s="39"/>
      <c r="Q201" s="39"/>
      <c r="R201" s="39"/>
      <c r="S201" s="39"/>
      <c r="T201" s="39"/>
      <c r="U201" s="39"/>
      <c r="V201" s="39"/>
      <c r="W201" s="39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35" t="s">
        <v>21</v>
      </c>
      <c r="B202" s="35" t="s">
        <v>40</v>
      </c>
      <c r="C202" s="35" t="s">
        <v>23</v>
      </c>
      <c r="D202" s="35" t="s">
        <v>41</v>
      </c>
      <c r="E202" s="35" t="s">
        <v>50</v>
      </c>
      <c r="F202" s="35" t="s">
        <v>51</v>
      </c>
      <c r="G202" s="35" t="s">
        <v>25</v>
      </c>
      <c r="H202" s="35" t="s">
        <v>25</v>
      </c>
      <c r="I202" s="55">
        <v>44562</v>
      </c>
      <c r="J202" s="56">
        <f>EFEITO!$J$202*EFEITO!$Y$110</f>
        <v>0</v>
      </c>
      <c r="K202" s="56">
        <f ca="1">EFEITO!$L$202*EFEITO!$Z$110</f>
        <v>313.59050735582213</v>
      </c>
      <c r="L202" s="56">
        <f>EFEITO!$N$202*EFEITO!$AA$110</f>
        <v>91.142789059127551</v>
      </c>
      <c r="M202" s="56">
        <f>$J$202-EFEITO!$K$202*EFEITO!$Y$202</f>
        <v>0</v>
      </c>
      <c r="N202" s="56">
        <f ca="1">$K$202-EFEITO!$M$202*EFEITO!$Z$202</f>
        <v>18.815430441349349</v>
      </c>
      <c r="O202" s="56">
        <f>$L$202-EFEITO!$O$202*EFEITO!$AA$202</f>
        <v>5.4685673435476616</v>
      </c>
      <c r="P202" s="39"/>
      <c r="Q202" s="39"/>
      <c r="R202" s="39"/>
      <c r="S202" s="39"/>
      <c r="T202" s="39"/>
      <c r="U202" s="39"/>
      <c r="V202" s="39"/>
      <c r="W202" s="39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35" t="s">
        <v>21</v>
      </c>
      <c r="B203" s="35" t="s">
        <v>40</v>
      </c>
      <c r="C203" s="35" t="s">
        <v>23</v>
      </c>
      <c r="D203" s="35" t="s">
        <v>41</v>
      </c>
      <c r="E203" s="35" t="s">
        <v>50</v>
      </c>
      <c r="F203" s="35" t="s">
        <v>51</v>
      </c>
      <c r="G203" s="35" t="s">
        <v>25</v>
      </c>
      <c r="H203" s="35" t="s">
        <v>25</v>
      </c>
      <c r="I203" s="55">
        <v>44593</v>
      </c>
      <c r="J203" s="56">
        <f>EFEITO!$J$203*EFEITO!$Y$110</f>
        <v>0</v>
      </c>
      <c r="K203" s="56">
        <f ca="1">EFEITO!$L$203*EFEITO!$Z$110</f>
        <v>385.10185616162619</v>
      </c>
      <c r="L203" s="56">
        <f>EFEITO!$N$203*EFEITO!$AA$110</f>
        <v>111.92703994254346</v>
      </c>
      <c r="M203" s="56">
        <f>$J$203-EFEITO!$K$203*EFEITO!$Y$203</f>
        <v>0</v>
      </c>
      <c r="N203" s="56">
        <f ca="1">$K$203-EFEITO!$M$203*EFEITO!$Z$203</f>
        <v>23.106111369697601</v>
      </c>
      <c r="O203" s="56">
        <f>$L$203-EFEITO!$O$203*EFEITO!$AA$203</f>
        <v>6.7156223965526181</v>
      </c>
      <c r="P203" s="39"/>
      <c r="Q203" s="39"/>
      <c r="R203" s="39"/>
      <c r="S203" s="39"/>
      <c r="T203" s="39"/>
      <c r="U203" s="39"/>
      <c r="V203" s="39"/>
      <c r="W203" s="39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35" t="s">
        <v>21</v>
      </c>
      <c r="B204" s="35" t="s">
        <v>40</v>
      </c>
      <c r="C204" s="35" t="s">
        <v>23</v>
      </c>
      <c r="D204" s="35" t="s">
        <v>41</v>
      </c>
      <c r="E204" s="35" t="s">
        <v>50</v>
      </c>
      <c r="F204" s="35" t="s">
        <v>51</v>
      </c>
      <c r="G204" s="35" t="s">
        <v>25</v>
      </c>
      <c r="H204" s="35" t="s">
        <v>25</v>
      </c>
      <c r="I204" s="55">
        <v>44621</v>
      </c>
      <c r="J204" s="56">
        <f>EFEITO!$J$204*EFEITO!$Y$110</f>
        <v>0</v>
      </c>
      <c r="K204" s="56">
        <f ca="1">EFEITO!$L$204*EFEITO!$Z$110</f>
        <v>509.05486075835319</v>
      </c>
      <c r="L204" s="56">
        <f>EFEITO!$N$204*EFEITO!$AA$110</f>
        <v>147.95307480713103</v>
      </c>
      <c r="M204" s="56">
        <f>$J$204-EFEITO!$K$204*EFEITO!$Y$204</f>
        <v>0</v>
      </c>
      <c r="N204" s="56">
        <f ca="1">$K$204-EFEITO!$M$204*EFEITO!$Z$204</f>
        <v>30.543291645501199</v>
      </c>
      <c r="O204" s="56">
        <f>$L$204-EFEITO!$O$204*EFEITO!$AA$204</f>
        <v>8.8771844884278721</v>
      </c>
      <c r="P204" s="39"/>
      <c r="Q204" s="39"/>
      <c r="R204" s="39"/>
      <c r="S204" s="39"/>
      <c r="T204" s="39"/>
      <c r="U204" s="39"/>
      <c r="V204" s="39"/>
      <c r="W204" s="39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35" t="s">
        <v>21</v>
      </c>
      <c r="B205" s="35" t="s">
        <v>40</v>
      </c>
      <c r="C205" s="35" t="s">
        <v>23</v>
      </c>
      <c r="D205" s="35" t="s">
        <v>41</v>
      </c>
      <c r="E205" s="35" t="s">
        <v>50</v>
      </c>
      <c r="F205" s="35" t="s">
        <v>51</v>
      </c>
      <c r="G205" s="35" t="s">
        <v>25</v>
      </c>
      <c r="H205" s="35" t="s">
        <v>25</v>
      </c>
      <c r="I205" s="55">
        <v>44652</v>
      </c>
      <c r="J205" s="56">
        <f>EFEITO!$J$205*EFEITO!$Y$110</f>
        <v>0</v>
      </c>
      <c r="K205" s="56">
        <f ca="1">EFEITO!$L$205*EFEITO!$Z$110</f>
        <v>491.04459513318778</v>
      </c>
      <c r="L205" s="56">
        <f>EFEITO!$N$205*EFEITO!$AA$110</f>
        <v>142.71852273278927</v>
      </c>
      <c r="M205" s="56">
        <f>$J$205-EFEITO!$K$205*EFEITO!$Y$205</f>
        <v>0</v>
      </c>
      <c r="N205" s="56">
        <f ca="1">$K$205-EFEITO!$M$205*EFEITO!$Z$205</f>
        <v>29.462675707991309</v>
      </c>
      <c r="O205" s="56">
        <f>$L$205-EFEITO!$O$205*EFEITO!$AA$205</f>
        <v>8.5631113639673799</v>
      </c>
      <c r="P205" s="39"/>
      <c r="Q205" s="39"/>
      <c r="R205" s="39"/>
      <c r="S205" s="39"/>
      <c r="T205" s="39"/>
      <c r="U205" s="39"/>
      <c r="V205" s="39"/>
      <c r="W205" s="39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35" t="s">
        <v>21</v>
      </c>
      <c r="B206" s="35" t="s">
        <v>40</v>
      </c>
      <c r="C206" s="35" t="s">
        <v>23</v>
      </c>
      <c r="D206" s="35" t="s">
        <v>41</v>
      </c>
      <c r="E206" s="35" t="s">
        <v>50</v>
      </c>
      <c r="F206" s="35" t="s">
        <v>51</v>
      </c>
      <c r="G206" s="35" t="s">
        <v>25</v>
      </c>
      <c r="H206" s="35" t="s">
        <v>25</v>
      </c>
      <c r="I206" s="55">
        <v>44682</v>
      </c>
      <c r="J206" s="56">
        <f>EFEITO!$J$206*EFEITO!$Y$110</f>
        <v>0</v>
      </c>
      <c r="K206" s="56">
        <f ca="1">EFEITO!$L$206*EFEITO!$Z$110</f>
        <v>543.48625092411066</v>
      </c>
      <c r="L206" s="56">
        <f>EFEITO!$N$206*EFEITO!$AA$110</f>
        <v>157.96030671396093</v>
      </c>
      <c r="M206" s="56">
        <f>$J$206-EFEITO!$K$206*EFEITO!$Y$206</f>
        <v>0</v>
      </c>
      <c r="N206" s="56">
        <f ca="1">$K$206-EFEITO!$M$206*EFEITO!$Z$206</f>
        <v>32.609175055446599</v>
      </c>
      <c r="O206" s="56">
        <f>$L$206-EFEITO!$O$206*EFEITO!$AA$206</f>
        <v>9.4776184028376633</v>
      </c>
      <c r="P206" s="39"/>
      <c r="Q206" s="39"/>
      <c r="R206" s="39"/>
      <c r="S206" s="39"/>
      <c r="T206" s="39"/>
      <c r="U206" s="39"/>
      <c r="V206" s="39"/>
      <c r="W206" s="39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35" t="s">
        <v>21</v>
      </c>
      <c r="B207" s="35" t="s">
        <v>40</v>
      </c>
      <c r="C207" s="35" t="s">
        <v>23</v>
      </c>
      <c r="D207" s="35" t="s">
        <v>41</v>
      </c>
      <c r="E207" s="35" t="s">
        <v>50</v>
      </c>
      <c r="F207" s="35" t="s">
        <v>51</v>
      </c>
      <c r="G207" s="35" t="s">
        <v>25</v>
      </c>
      <c r="H207" s="35" t="s">
        <v>25</v>
      </c>
      <c r="I207" s="55">
        <v>44713</v>
      </c>
      <c r="J207" s="56">
        <f>EFEITO!$J$207*EFEITO!$Y$110</f>
        <v>0</v>
      </c>
      <c r="K207" s="56">
        <f ca="1">EFEITO!$L$207*EFEITO!$Z$110</f>
        <v>557.25880699041375</v>
      </c>
      <c r="L207" s="56">
        <f>EFEITO!$N$207*EFEITO!$AA$110</f>
        <v>161.96319947669289</v>
      </c>
      <c r="M207" s="56">
        <f>$J$207-EFEITO!$K$207*EFEITO!$Y$207</f>
        <v>0</v>
      </c>
      <c r="N207" s="56">
        <f ca="1">$K$207-EFEITO!$M$207*EFEITO!$Z$207</f>
        <v>33.435528419424827</v>
      </c>
      <c r="O207" s="56">
        <f>$L$207-EFEITO!$O$207*EFEITO!$AA$207</f>
        <v>9.7177919686016025</v>
      </c>
      <c r="P207" s="39"/>
      <c r="Q207" s="39"/>
      <c r="R207" s="39"/>
      <c r="S207" s="39"/>
      <c r="T207" s="39"/>
      <c r="U207" s="39"/>
      <c r="V207" s="39"/>
      <c r="W207" s="39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35" t="s">
        <v>21</v>
      </c>
      <c r="B208" s="35" t="s">
        <v>40</v>
      </c>
      <c r="C208" s="35" t="s">
        <v>23</v>
      </c>
      <c r="D208" s="35" t="s">
        <v>41</v>
      </c>
      <c r="E208" s="35" t="s">
        <v>50</v>
      </c>
      <c r="F208" s="35" t="s">
        <v>51</v>
      </c>
      <c r="G208" s="35" t="s">
        <v>25</v>
      </c>
      <c r="H208" s="35" t="s">
        <v>25</v>
      </c>
      <c r="I208" s="55">
        <v>44743</v>
      </c>
      <c r="J208" s="56">
        <f>EFEITO!$J$208*EFEITO!$Y$110</f>
        <v>0</v>
      </c>
      <c r="K208" s="56">
        <f ca="1">EFEITO!$L$208*EFEITO!$Z$110</f>
        <v>457.67263235714586</v>
      </c>
      <c r="L208" s="56">
        <f>EFEITO!$N$208*EFEITO!$AA$110</f>
        <v>133.01920565386183</v>
      </c>
      <c r="M208" s="56">
        <f>$J$208-EFEITO!$K$208*EFEITO!$Y$208</f>
        <v>0</v>
      </c>
      <c r="N208" s="56">
        <f ca="1">$K$208-EFEITO!$M$208*EFEITO!$Z$208</f>
        <v>27.460357941428811</v>
      </c>
      <c r="O208" s="56">
        <f>$L$208-EFEITO!$O$208*EFEITO!$AA$208</f>
        <v>7.981152339231727</v>
      </c>
      <c r="P208" s="39"/>
      <c r="Q208" s="39"/>
      <c r="R208" s="39"/>
      <c r="S208" s="39"/>
      <c r="T208" s="39"/>
      <c r="U208" s="39"/>
      <c r="V208" s="39"/>
      <c r="W208" s="39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35" t="s">
        <v>21</v>
      </c>
      <c r="B209" s="35" t="s">
        <v>40</v>
      </c>
      <c r="C209" s="35" t="s">
        <v>23</v>
      </c>
      <c r="D209" s="35" t="s">
        <v>41</v>
      </c>
      <c r="E209" s="35" t="s">
        <v>50</v>
      </c>
      <c r="F209" s="35" t="s">
        <v>51</v>
      </c>
      <c r="G209" s="35" t="s">
        <v>25</v>
      </c>
      <c r="H209" s="35" t="s">
        <v>25</v>
      </c>
      <c r="I209" s="55">
        <v>44774</v>
      </c>
      <c r="J209" s="56">
        <f>EFEITO!$J$209*EFEITO!$Y$110</f>
        <v>0</v>
      </c>
      <c r="K209" s="56">
        <f ca="1">EFEITO!$L$209*EFEITO!$Z$110</f>
        <v>697.10322243287499</v>
      </c>
      <c r="L209" s="56">
        <f>EFEITO!$N$209*EFEITO!$AA$110</f>
        <v>202.60795675981734</v>
      </c>
      <c r="M209" s="56">
        <f>$J$209-EFEITO!$K$209*EFEITO!$Y$209</f>
        <v>0</v>
      </c>
      <c r="N209" s="56">
        <f ca="1">$K$209-EFEITO!$M$209*EFEITO!$Z$209</f>
        <v>41.82619334597257</v>
      </c>
      <c r="O209" s="56">
        <f>$L$209-EFEITO!$O$209*EFEITO!$AA$209</f>
        <v>12.156477405589072</v>
      </c>
      <c r="P209" s="39"/>
      <c r="Q209" s="39"/>
      <c r="R209" s="39"/>
      <c r="S209" s="39"/>
      <c r="T209" s="39"/>
      <c r="U209" s="39"/>
      <c r="V209" s="39"/>
      <c r="W209" s="39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35" t="s">
        <v>21</v>
      </c>
      <c r="B210" s="35" t="s">
        <v>40</v>
      </c>
      <c r="C210" s="35" t="s">
        <v>23</v>
      </c>
      <c r="D210" s="35" t="s">
        <v>41</v>
      </c>
      <c r="E210" s="35" t="s">
        <v>50</v>
      </c>
      <c r="F210" s="35" t="s">
        <v>52</v>
      </c>
      <c r="G210" s="35" t="s">
        <v>25</v>
      </c>
      <c r="H210" s="35" t="s">
        <v>25</v>
      </c>
      <c r="I210" s="55">
        <v>44440</v>
      </c>
      <c r="J210" s="56">
        <f>EFEITO!$J$210*EFEITO!$Y$110</f>
        <v>0</v>
      </c>
      <c r="K210" s="56">
        <f ca="1">EFEITO!$L$210*EFEITO!$Z$110</f>
        <v>62.506215993221304</v>
      </c>
      <c r="L210" s="56">
        <f>EFEITO!$N$210*EFEITO!$AA$110</f>
        <v>18.166974846245019</v>
      </c>
      <c r="M210" s="56">
        <f>$J$210-EFEITO!$K$210*EFEITO!$Y$210</f>
        <v>0</v>
      </c>
      <c r="N210" s="56">
        <f ca="1">$K$210-EFEITO!$M$210*EFEITO!$Z$210</f>
        <v>39.003878779770091</v>
      </c>
      <c r="O210" s="56">
        <f>$L$210-EFEITO!$O$210*EFEITO!$AA$210</f>
        <v>11.336192304056892</v>
      </c>
      <c r="P210" s="39"/>
      <c r="Q210" s="39"/>
      <c r="R210" s="39"/>
      <c r="S210" s="39"/>
      <c r="T210" s="39"/>
      <c r="U210" s="39"/>
      <c r="V210" s="39"/>
      <c r="W210" s="39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35" t="s">
        <v>21</v>
      </c>
      <c r="B211" s="35" t="s">
        <v>40</v>
      </c>
      <c r="C211" s="35" t="s">
        <v>23</v>
      </c>
      <c r="D211" s="35" t="s">
        <v>41</v>
      </c>
      <c r="E211" s="35" t="s">
        <v>50</v>
      </c>
      <c r="F211" s="35" t="s">
        <v>52</v>
      </c>
      <c r="G211" s="35" t="s">
        <v>25</v>
      </c>
      <c r="H211" s="35" t="s">
        <v>25</v>
      </c>
      <c r="I211" s="55">
        <v>44470</v>
      </c>
      <c r="J211" s="56">
        <f>EFEITO!$J$211*EFEITO!$Y$110</f>
        <v>0</v>
      </c>
      <c r="K211" s="56">
        <f ca="1">EFEITO!$L$211*EFEITO!$Z$110</f>
        <v>60.387361213790079</v>
      </c>
      <c r="L211" s="56">
        <f>EFEITO!$N$211*EFEITO!$AA$110</f>
        <v>17.551145190440103</v>
      </c>
      <c r="M211" s="56">
        <f>$J$211-EFEITO!$K$211*EFEITO!$Y$211</f>
        <v>0</v>
      </c>
      <c r="N211" s="56">
        <f ca="1">$K$211-EFEITO!$M$211*EFEITO!$Z$211</f>
        <v>37.681713397405005</v>
      </c>
      <c r="O211" s="56">
        <f>$L$211-EFEITO!$O$211*EFEITO!$AA$211</f>
        <v>10.951914598834625</v>
      </c>
      <c r="P211" s="39"/>
      <c r="Q211" s="39"/>
      <c r="R211" s="39"/>
      <c r="S211" s="39"/>
      <c r="T211" s="39"/>
      <c r="U211" s="39"/>
      <c r="V211" s="39"/>
      <c r="W211" s="39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35" t="s">
        <v>21</v>
      </c>
      <c r="B212" s="35" t="s">
        <v>40</v>
      </c>
      <c r="C212" s="35" t="s">
        <v>23</v>
      </c>
      <c r="D212" s="35" t="s">
        <v>41</v>
      </c>
      <c r="E212" s="35" t="s">
        <v>50</v>
      </c>
      <c r="F212" s="35" t="s">
        <v>52</v>
      </c>
      <c r="G212" s="35" t="s">
        <v>25</v>
      </c>
      <c r="H212" s="35" t="s">
        <v>25</v>
      </c>
      <c r="I212" s="55">
        <v>44501</v>
      </c>
      <c r="J212" s="56">
        <f>EFEITO!$J$212*EFEITO!$Y$110</f>
        <v>0</v>
      </c>
      <c r="K212" s="56">
        <f ca="1">EFEITO!$L$212*EFEITO!$Z$110</f>
        <v>89.521614430969507</v>
      </c>
      <c r="L212" s="56">
        <f>EFEITO!$N$212*EFEITO!$AA$110</f>
        <v>26.018802957757696</v>
      </c>
      <c r="M212" s="56">
        <f>$J$212-EFEITO!$K$212*EFEITO!$Y$212</f>
        <v>0</v>
      </c>
      <c r="N212" s="56">
        <f ca="1">$K$212-EFEITO!$M$212*EFEITO!$Z$212</f>
        <v>55.861487404924979</v>
      </c>
      <c r="O212" s="56">
        <f>$L$212-EFEITO!$O$212*EFEITO!$AA$212</f>
        <v>16.235733045640806</v>
      </c>
      <c r="P212" s="39"/>
      <c r="Q212" s="39"/>
      <c r="R212" s="39"/>
      <c r="S212" s="39"/>
      <c r="T212" s="39"/>
      <c r="U212" s="39"/>
      <c r="V212" s="39"/>
      <c r="W212" s="39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35" t="s">
        <v>21</v>
      </c>
      <c r="B213" s="35" t="s">
        <v>40</v>
      </c>
      <c r="C213" s="35" t="s">
        <v>23</v>
      </c>
      <c r="D213" s="35" t="s">
        <v>41</v>
      </c>
      <c r="E213" s="35" t="s">
        <v>50</v>
      </c>
      <c r="F213" s="35" t="s">
        <v>52</v>
      </c>
      <c r="G213" s="35" t="s">
        <v>25</v>
      </c>
      <c r="H213" s="35" t="s">
        <v>25</v>
      </c>
      <c r="I213" s="55">
        <v>44531</v>
      </c>
      <c r="J213" s="56">
        <f>EFEITO!$J$213*EFEITO!$Y$110</f>
        <v>0</v>
      </c>
      <c r="K213" s="56">
        <f ca="1">EFEITO!$L$213*EFEITO!$Z$110</f>
        <v>420.0629600222415</v>
      </c>
      <c r="L213" s="56">
        <f>EFEITO!$N$213*EFEITO!$AA$110</f>
        <v>122.08822926332458</v>
      </c>
      <c r="M213" s="56">
        <f>$J$213-EFEITO!$K$213*EFEITO!$Y$213</f>
        <v>0</v>
      </c>
      <c r="N213" s="56">
        <f ca="1">$K$213-EFEITO!$M$213*EFEITO!$Z$213</f>
        <v>262.11928705387868</v>
      </c>
      <c r="O213" s="56">
        <f>$L$213-EFEITO!$O$213*EFEITO!$AA$213</f>
        <v>76.183055060314544</v>
      </c>
      <c r="P213" s="39"/>
      <c r="Q213" s="39"/>
      <c r="R213" s="39"/>
      <c r="S213" s="39"/>
      <c r="T213" s="39"/>
      <c r="U213" s="39"/>
      <c r="V213" s="39"/>
      <c r="W213" s="39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35" t="s">
        <v>21</v>
      </c>
      <c r="B214" s="35" t="s">
        <v>40</v>
      </c>
      <c r="C214" s="35" t="s">
        <v>23</v>
      </c>
      <c r="D214" s="35" t="s">
        <v>41</v>
      </c>
      <c r="E214" s="35" t="s">
        <v>50</v>
      </c>
      <c r="F214" s="35" t="s">
        <v>52</v>
      </c>
      <c r="G214" s="35" t="s">
        <v>25</v>
      </c>
      <c r="H214" s="35" t="s">
        <v>25</v>
      </c>
      <c r="I214" s="55">
        <v>44562</v>
      </c>
      <c r="J214" s="56">
        <f>EFEITO!$J$214*EFEITO!$Y$110</f>
        <v>0</v>
      </c>
      <c r="K214" s="56">
        <f ca="1">EFEITO!$L$214*EFEITO!$Z$110</f>
        <v>977.32176701265519</v>
      </c>
      <c r="L214" s="56">
        <f>EFEITO!$N$214*EFEITO!$AA$110</f>
        <v>284.05142874001746</v>
      </c>
      <c r="M214" s="56">
        <f>$J$214-EFEITO!$K$214*EFEITO!$Y$214</f>
        <v>0</v>
      </c>
      <c r="N214" s="56">
        <f ca="1">$K$214-EFEITO!$M$214*EFEITO!$Z$214</f>
        <v>609.84878261589688</v>
      </c>
      <c r="O214" s="56">
        <f>$L$214-EFEITO!$O$214*EFEITO!$AA$214</f>
        <v>177.24809153377089</v>
      </c>
      <c r="P214" s="39"/>
      <c r="Q214" s="39"/>
      <c r="R214" s="39"/>
      <c r="S214" s="39"/>
      <c r="T214" s="39"/>
      <c r="U214" s="39"/>
      <c r="V214" s="39"/>
      <c r="W214" s="39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35" t="s">
        <v>21</v>
      </c>
      <c r="B215" s="35" t="s">
        <v>40</v>
      </c>
      <c r="C215" s="35" t="s">
        <v>23</v>
      </c>
      <c r="D215" s="35" t="s">
        <v>41</v>
      </c>
      <c r="E215" s="35" t="s">
        <v>50</v>
      </c>
      <c r="F215" s="35" t="s">
        <v>52</v>
      </c>
      <c r="G215" s="35" t="s">
        <v>25</v>
      </c>
      <c r="H215" s="35" t="s">
        <v>25</v>
      </c>
      <c r="I215" s="55">
        <v>44593</v>
      </c>
      <c r="J215" s="56">
        <f>EFEITO!$J$215*EFEITO!$Y$110</f>
        <v>0</v>
      </c>
      <c r="K215" s="56">
        <f ca="1">EFEITO!$L$215*EFEITO!$Z$110</f>
        <v>951.89550965948035</v>
      </c>
      <c r="L215" s="56">
        <f>EFEITO!$N$215*EFEITO!$AA$110</f>
        <v>276.66147287035847</v>
      </c>
      <c r="M215" s="56">
        <f>$J$215-EFEITO!$K$215*EFEITO!$Y$215</f>
        <v>0</v>
      </c>
      <c r="N215" s="56">
        <f ca="1">$K$215-EFEITO!$M$215*EFEITO!$Z$215</f>
        <v>593.98279802751574</v>
      </c>
      <c r="O215" s="56">
        <f>$L$215-EFEITO!$O$215*EFEITO!$AA$215</f>
        <v>172.63675907110371</v>
      </c>
      <c r="P215" s="39"/>
      <c r="Q215" s="39"/>
      <c r="R215" s="39"/>
      <c r="S215" s="39"/>
      <c r="T215" s="39"/>
      <c r="U215" s="39"/>
      <c r="V215" s="39"/>
      <c r="W215" s="39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35" t="s">
        <v>21</v>
      </c>
      <c r="B216" s="35" t="s">
        <v>40</v>
      </c>
      <c r="C216" s="35" t="s">
        <v>23</v>
      </c>
      <c r="D216" s="35" t="s">
        <v>41</v>
      </c>
      <c r="E216" s="35" t="s">
        <v>50</v>
      </c>
      <c r="F216" s="35" t="s">
        <v>52</v>
      </c>
      <c r="G216" s="35" t="s">
        <v>25</v>
      </c>
      <c r="H216" s="35" t="s">
        <v>25</v>
      </c>
      <c r="I216" s="55">
        <v>44621</v>
      </c>
      <c r="J216" s="56">
        <f>EFEITO!$J$216*EFEITO!$Y$110</f>
        <v>0</v>
      </c>
      <c r="K216" s="56">
        <f ca="1">EFEITO!$L$216*EFEITO!$Z$110</f>
        <v>1374.077324461153</v>
      </c>
      <c r="L216" s="56">
        <f>EFEITO!$N$216*EFEITO!$AA$110</f>
        <v>399.36553178948793</v>
      </c>
      <c r="M216" s="56">
        <f>$J$216-EFEITO!$K$216*EFEITO!$Y$216</f>
        <v>0</v>
      </c>
      <c r="N216" s="56">
        <f ca="1">$K$216-EFEITO!$M$216*EFEITO!$Z$216</f>
        <v>857.42425046375945</v>
      </c>
      <c r="O216" s="56">
        <f>$L$216-EFEITO!$O$216*EFEITO!$AA$216</f>
        <v>249.20409183664046</v>
      </c>
      <c r="P216" s="39"/>
      <c r="Q216" s="39"/>
      <c r="R216" s="39"/>
      <c r="S216" s="39"/>
      <c r="T216" s="39"/>
      <c r="U216" s="39"/>
      <c r="V216" s="39"/>
      <c r="W216" s="39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35" t="s">
        <v>21</v>
      </c>
      <c r="B217" s="35" t="s">
        <v>40</v>
      </c>
      <c r="C217" s="35" t="s">
        <v>23</v>
      </c>
      <c r="D217" s="35" t="s">
        <v>41</v>
      </c>
      <c r="E217" s="35" t="s">
        <v>50</v>
      </c>
      <c r="F217" s="35" t="s">
        <v>52</v>
      </c>
      <c r="G217" s="35" t="s">
        <v>25</v>
      </c>
      <c r="H217" s="35" t="s">
        <v>25</v>
      </c>
      <c r="I217" s="55">
        <v>44652</v>
      </c>
      <c r="J217" s="56">
        <f>EFEITO!$J$217*EFEITO!$Y$110</f>
        <v>0</v>
      </c>
      <c r="K217" s="56">
        <f ca="1">EFEITO!$L$217*EFEITO!$Z$110</f>
        <v>1746.466051946192</v>
      </c>
      <c r="L217" s="56">
        <f>EFEITO!$N$217*EFEITO!$AA$110</f>
        <v>507.59759379720197</v>
      </c>
      <c r="M217" s="56">
        <f>$J$217-EFEITO!$K$217*EFEITO!$Y$217</f>
        <v>0</v>
      </c>
      <c r="N217" s="56">
        <f ca="1">$K$217-EFEITO!$M$217*EFEITO!$Z$217</f>
        <v>1089.7948164144238</v>
      </c>
      <c r="O217" s="56">
        <f>$L$217-EFEITO!$O$217*EFEITO!$AA$217</f>
        <v>316.74089852945406</v>
      </c>
      <c r="P217" s="39"/>
      <c r="Q217" s="39"/>
      <c r="R217" s="39"/>
      <c r="S217" s="39"/>
      <c r="T217" s="39"/>
      <c r="U217" s="39"/>
      <c r="V217" s="39"/>
      <c r="W217" s="39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35" t="s">
        <v>21</v>
      </c>
      <c r="B218" s="35" t="s">
        <v>40</v>
      </c>
      <c r="C218" s="35" t="s">
        <v>23</v>
      </c>
      <c r="D218" s="35" t="s">
        <v>41</v>
      </c>
      <c r="E218" s="35" t="s">
        <v>50</v>
      </c>
      <c r="F218" s="35" t="s">
        <v>52</v>
      </c>
      <c r="G218" s="35" t="s">
        <v>25</v>
      </c>
      <c r="H218" s="35" t="s">
        <v>25</v>
      </c>
      <c r="I218" s="55">
        <v>44682</v>
      </c>
      <c r="J218" s="56">
        <f>EFEITO!$J$218*EFEITO!$Y$110</f>
        <v>0</v>
      </c>
      <c r="K218" s="56">
        <f ca="1">EFEITO!$L$218*EFEITO!$Z$110</f>
        <v>1563.1851135253905</v>
      </c>
      <c r="L218" s="56">
        <f>EFEITO!$N$218*EFEITO!$AA$110</f>
        <v>454.32832857007668</v>
      </c>
      <c r="M218" s="56">
        <f>$J$218-EFEITO!$K$218*EFEITO!$Y$218</f>
        <v>0</v>
      </c>
      <c r="N218" s="56">
        <f ca="1">$K$218-EFEITO!$M$218*EFEITO!$Z$218</f>
        <v>975.42751083984376</v>
      </c>
      <c r="O218" s="56">
        <f>$L$218-EFEITO!$O$218*EFEITO!$AA$218</f>
        <v>283.50087702772788</v>
      </c>
      <c r="P218" s="39"/>
      <c r="Q218" s="39"/>
      <c r="R218" s="39"/>
      <c r="S218" s="39"/>
      <c r="T218" s="39"/>
      <c r="U218" s="39"/>
      <c r="V218" s="39"/>
      <c r="W218" s="39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35" t="s">
        <v>21</v>
      </c>
      <c r="B219" s="35" t="s">
        <v>40</v>
      </c>
      <c r="C219" s="35" t="s">
        <v>23</v>
      </c>
      <c r="D219" s="35" t="s">
        <v>41</v>
      </c>
      <c r="E219" s="35" t="s">
        <v>50</v>
      </c>
      <c r="F219" s="35" t="s">
        <v>52</v>
      </c>
      <c r="G219" s="35" t="s">
        <v>25</v>
      </c>
      <c r="H219" s="35" t="s">
        <v>25</v>
      </c>
      <c r="I219" s="55">
        <v>44713</v>
      </c>
      <c r="J219" s="56">
        <f>EFEITO!$J$219*EFEITO!$Y$110</f>
        <v>0</v>
      </c>
      <c r="K219" s="56">
        <f ca="1">EFEITO!$L$219*EFEITO!$Z$110</f>
        <v>1690.3164002912642</v>
      </c>
      <c r="L219" s="56">
        <f>EFEITO!$N$219*EFEITO!$AA$110</f>
        <v>491.27810791837163</v>
      </c>
      <c r="M219" s="56">
        <f>$J$219-EFEITO!$K$219*EFEITO!$Y$219</f>
        <v>0</v>
      </c>
      <c r="N219" s="56">
        <f ca="1">$K$219-EFEITO!$M$219*EFEITO!$Z$219</f>
        <v>1054.7574337817489</v>
      </c>
      <c r="O219" s="56">
        <f>$L$219-EFEITO!$O$219*EFEITO!$AA$219</f>
        <v>306.55753934106394</v>
      </c>
      <c r="P219" s="39"/>
      <c r="Q219" s="39"/>
      <c r="R219" s="39"/>
      <c r="S219" s="39"/>
      <c r="T219" s="39"/>
      <c r="U219" s="39"/>
      <c r="V219" s="39"/>
      <c r="W219" s="39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35" t="s">
        <v>21</v>
      </c>
      <c r="B220" s="35" t="s">
        <v>40</v>
      </c>
      <c r="C220" s="35" t="s">
        <v>23</v>
      </c>
      <c r="D220" s="35" t="s">
        <v>41</v>
      </c>
      <c r="E220" s="35" t="s">
        <v>50</v>
      </c>
      <c r="F220" s="35" t="s">
        <v>52</v>
      </c>
      <c r="G220" s="35" t="s">
        <v>25</v>
      </c>
      <c r="H220" s="35" t="s">
        <v>25</v>
      </c>
      <c r="I220" s="55">
        <v>44743</v>
      </c>
      <c r="J220" s="56">
        <f>EFEITO!$J$220*EFEITO!$Y$110</f>
        <v>0</v>
      </c>
      <c r="K220" s="56">
        <f ca="1">EFEITO!$L$220*EFEITO!$Z$110</f>
        <v>1344.9430712439739</v>
      </c>
      <c r="L220" s="56">
        <f>EFEITO!$N$220*EFEITO!$AA$110</f>
        <v>390.89787402217036</v>
      </c>
      <c r="M220" s="56">
        <f>$J$220-EFEITO!$K$220*EFEITO!$Y$220</f>
        <v>0</v>
      </c>
      <c r="N220" s="56">
        <f ca="1">$K$220-EFEITO!$M$220*EFEITO!$Z$220</f>
        <v>839.24447645623979</v>
      </c>
      <c r="O220" s="56">
        <f>$L$220-EFEITO!$O$220*EFEITO!$AA$220</f>
        <v>243.92027338983431</v>
      </c>
      <c r="P220" s="39"/>
      <c r="Q220" s="39"/>
      <c r="R220" s="39"/>
      <c r="S220" s="39"/>
      <c r="T220" s="39"/>
      <c r="U220" s="39"/>
      <c r="V220" s="39"/>
      <c r="W220" s="39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35" t="s">
        <v>21</v>
      </c>
      <c r="B221" s="35" t="s">
        <v>40</v>
      </c>
      <c r="C221" s="35" t="s">
        <v>23</v>
      </c>
      <c r="D221" s="35" t="s">
        <v>41</v>
      </c>
      <c r="E221" s="35" t="s">
        <v>50</v>
      </c>
      <c r="F221" s="35" t="s">
        <v>52</v>
      </c>
      <c r="G221" s="35" t="s">
        <v>25</v>
      </c>
      <c r="H221" s="35" t="s">
        <v>25</v>
      </c>
      <c r="I221" s="55">
        <v>44774</v>
      </c>
      <c r="J221" s="56">
        <f>EFEITO!$J$221*EFEITO!$Y$110</f>
        <v>0</v>
      </c>
      <c r="K221" s="56">
        <f ca="1">EFEITO!$L$221*EFEITO!$Z$110</f>
        <v>1654.2958690409334</v>
      </c>
      <c r="L221" s="56">
        <f>EFEITO!$N$221*EFEITO!$AA$110</f>
        <v>480.8090037696881</v>
      </c>
      <c r="M221" s="56">
        <f>$J$221-EFEITO!$K$221*EFEITO!$Y$221</f>
        <v>0</v>
      </c>
      <c r="N221" s="56">
        <f ca="1">$K$221-EFEITO!$M$221*EFEITO!$Z$221</f>
        <v>1032.2806222815425</v>
      </c>
      <c r="O221" s="56">
        <f>$L$221-EFEITO!$O$221*EFEITO!$AA$221</f>
        <v>300.02481835228537</v>
      </c>
      <c r="P221" s="39"/>
      <c r="Q221" s="39"/>
      <c r="R221" s="39"/>
      <c r="S221" s="39"/>
      <c r="T221" s="39"/>
      <c r="U221" s="39"/>
      <c r="V221" s="39"/>
      <c r="W221" s="39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35" t="s">
        <v>21</v>
      </c>
      <c r="B222" s="35" t="s">
        <v>40</v>
      </c>
      <c r="C222" s="35" t="s">
        <v>23</v>
      </c>
      <c r="D222" s="35" t="s">
        <v>41</v>
      </c>
      <c r="E222" s="35" t="s">
        <v>25</v>
      </c>
      <c r="F222" s="35" t="s">
        <v>25</v>
      </c>
      <c r="G222" s="35" t="s">
        <v>25</v>
      </c>
      <c r="H222" s="35" t="s">
        <v>25</v>
      </c>
      <c r="I222" s="55">
        <v>44440</v>
      </c>
      <c r="J222" s="56">
        <f>EFEITO!$J$222*EFEITO!$Y$110</f>
        <v>0</v>
      </c>
      <c r="K222" s="56">
        <f ca="1">EFEITO!$L$222*EFEITO!$Z$110</f>
        <v>145144.73067320845</v>
      </c>
      <c r="L222" s="56">
        <f>EFEITO!$N$222*EFEITO!$AA$110</f>
        <v>42185.255167120442</v>
      </c>
      <c r="M222" s="56">
        <f>$J$222-EFEITO!$K$222*EFEITO!$Y$222</f>
        <v>0</v>
      </c>
      <c r="N222" s="56">
        <f ca="1">$K$222-EFEITO!$M$222*EFEITO!$Z$222</f>
        <v>8708.6838403925358</v>
      </c>
      <c r="O222" s="56">
        <f>$L$222-EFEITO!$O$222*EFEITO!$AA$222</f>
        <v>2531.1153100272277</v>
      </c>
      <c r="P222" s="39"/>
      <c r="Q222" s="39"/>
      <c r="R222" s="39"/>
      <c r="S222" s="39"/>
      <c r="T222" s="39"/>
      <c r="U222" s="39"/>
      <c r="V222" s="39"/>
      <c r="W222" s="39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35" t="s">
        <v>28</v>
      </c>
      <c r="B223" s="35" t="s">
        <v>40</v>
      </c>
      <c r="C223" s="35" t="s">
        <v>23</v>
      </c>
      <c r="D223" s="35" t="s">
        <v>41</v>
      </c>
      <c r="E223" s="35" t="s">
        <v>25</v>
      </c>
      <c r="F223" s="35" t="s">
        <v>25</v>
      </c>
      <c r="G223" s="35" t="s">
        <v>25</v>
      </c>
      <c r="H223" s="35" t="s">
        <v>25</v>
      </c>
      <c r="I223" s="55">
        <v>44440</v>
      </c>
      <c r="J223" s="56">
        <f>EFEITO!$J$223*EFEITO!$Y$110</f>
        <v>0</v>
      </c>
      <c r="K223" s="56">
        <f ca="1">EFEITO!$L$223*EFEITO!$Z$110</f>
        <v>2418.1430170258923</v>
      </c>
      <c r="L223" s="56">
        <f>EFEITO!$N$223*EFEITO!$AA$110</f>
        <v>702.81559468736032</v>
      </c>
      <c r="M223" s="56">
        <f>$J$223-EFEITO!$K$223*EFEITO!$Y$223</f>
        <v>0</v>
      </c>
      <c r="N223" s="56">
        <f ca="1">$K$223-EFEITO!$M$223*EFEITO!$Z$223</f>
        <v>145.08858102155364</v>
      </c>
      <c r="O223" s="56">
        <f>$L$223-EFEITO!$O$223*EFEITO!$AA$223</f>
        <v>42.168935681241692</v>
      </c>
      <c r="P223" s="39"/>
      <c r="Q223" s="39"/>
      <c r="R223" s="39"/>
      <c r="S223" s="39"/>
      <c r="T223" s="39"/>
      <c r="U223" s="39"/>
      <c r="V223" s="39"/>
      <c r="W223" s="39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35" t="s">
        <v>21</v>
      </c>
      <c r="B224" s="35" t="s">
        <v>40</v>
      </c>
      <c r="C224" s="35" t="s">
        <v>23</v>
      </c>
      <c r="D224" s="35" t="s">
        <v>41</v>
      </c>
      <c r="E224" s="35" t="s">
        <v>25</v>
      </c>
      <c r="F224" s="35" t="s">
        <v>25</v>
      </c>
      <c r="G224" s="35" t="s">
        <v>25</v>
      </c>
      <c r="H224" s="35" t="s">
        <v>25</v>
      </c>
      <c r="I224" s="55">
        <v>44470</v>
      </c>
      <c r="J224" s="56">
        <f>EFEITO!$J$224*EFEITO!$Y$110</f>
        <v>0</v>
      </c>
      <c r="K224" s="56">
        <f ca="1">EFEITO!$L$224*EFEITO!$Z$110</f>
        <v>123407.92920471831</v>
      </c>
      <c r="L224" s="56">
        <f>EFEITO!$N$224*EFEITO!$AA$110</f>
        <v>35867.612685631764</v>
      </c>
      <c r="M224" s="56">
        <f>$J$224-EFEITO!$K$224*EFEITO!$Y$224</f>
        <v>0</v>
      </c>
      <c r="N224" s="56">
        <f ca="1">$K$224-EFEITO!$M$224*EFEITO!$Z$224</f>
        <v>7404.4757522830914</v>
      </c>
      <c r="O224" s="56">
        <f>$L$224-EFEITO!$O$224*EFEITO!$AA$224</f>
        <v>2152.0567611379083</v>
      </c>
      <c r="P224" s="39"/>
      <c r="Q224" s="39"/>
      <c r="R224" s="39"/>
      <c r="S224" s="39"/>
      <c r="T224" s="39"/>
      <c r="U224" s="39"/>
      <c r="V224" s="39"/>
      <c r="W224" s="39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35" t="s">
        <v>28</v>
      </c>
      <c r="B225" s="35" t="s">
        <v>40</v>
      </c>
      <c r="C225" s="35" t="s">
        <v>23</v>
      </c>
      <c r="D225" s="35" t="s">
        <v>41</v>
      </c>
      <c r="E225" s="35" t="s">
        <v>25</v>
      </c>
      <c r="F225" s="35" t="s">
        <v>25</v>
      </c>
      <c r="G225" s="35" t="s">
        <v>25</v>
      </c>
      <c r="H225" s="35" t="s">
        <v>25</v>
      </c>
      <c r="I225" s="55">
        <v>44470</v>
      </c>
      <c r="J225" s="56">
        <f>EFEITO!$J$225*EFEITO!$Y$110</f>
        <v>0</v>
      </c>
      <c r="K225" s="56">
        <f ca="1">EFEITO!$L$225*EFEITO!$Z$110</f>
        <v>3198.9410032463006</v>
      </c>
      <c r="L225" s="56">
        <f>EFEITO!$N$225*EFEITO!$AA$110</f>
        <v>929.74882285147169</v>
      </c>
      <c r="M225" s="56">
        <f>$J$225-EFEITO!$K$225*EFEITO!$Y$225</f>
        <v>0</v>
      </c>
      <c r="N225" s="56">
        <f ca="1">$K$225-EFEITO!$M$225*EFEITO!$Z$225</f>
        <v>191.93646019477819</v>
      </c>
      <c r="O225" s="56">
        <f>$L$225-EFEITO!$O$225*EFEITO!$AA$225</f>
        <v>55.78492937108831</v>
      </c>
      <c r="P225" s="39"/>
      <c r="Q225" s="39"/>
      <c r="R225" s="39"/>
      <c r="S225" s="39"/>
      <c r="T225" s="39"/>
      <c r="U225" s="39"/>
      <c r="V225" s="39"/>
      <c r="W225" s="39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35" t="s">
        <v>21</v>
      </c>
      <c r="B226" s="35" t="s">
        <v>40</v>
      </c>
      <c r="C226" s="35" t="s">
        <v>23</v>
      </c>
      <c r="D226" s="35" t="s">
        <v>41</v>
      </c>
      <c r="E226" s="35" t="s">
        <v>25</v>
      </c>
      <c r="F226" s="35" t="s">
        <v>25</v>
      </c>
      <c r="G226" s="35" t="s">
        <v>25</v>
      </c>
      <c r="H226" s="35" t="s">
        <v>25</v>
      </c>
      <c r="I226" s="55">
        <v>44501</v>
      </c>
      <c r="J226" s="56">
        <f>EFEITO!$J$226*EFEITO!$Y$110</f>
        <v>0</v>
      </c>
      <c r="K226" s="56">
        <f ca="1">EFEITO!$L$226*EFEITO!$Z$110</f>
        <v>141005.54786158956</v>
      </c>
      <c r="L226" s="56">
        <f>EFEITO!$N$226*EFEITO!$AA$110</f>
        <v>40982.231934505544</v>
      </c>
      <c r="M226" s="56">
        <f>$J$226-EFEITO!$K$226*EFEITO!$Y$226</f>
        <v>0</v>
      </c>
      <c r="N226" s="56">
        <f ca="1">$K$226-EFEITO!$M$226*EFEITO!$Z$226</f>
        <v>8460.3328716953984</v>
      </c>
      <c r="O226" s="56">
        <f>$L$226-EFEITO!$O$226*EFEITO!$AA$226</f>
        <v>2458.9339160703385</v>
      </c>
      <c r="P226" s="39"/>
      <c r="Q226" s="39"/>
      <c r="R226" s="39"/>
      <c r="S226" s="39"/>
      <c r="T226" s="39"/>
      <c r="U226" s="39"/>
      <c r="V226" s="39"/>
      <c r="W226" s="39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35" t="s">
        <v>28</v>
      </c>
      <c r="B227" s="35" t="s">
        <v>40</v>
      </c>
      <c r="C227" s="35" t="s">
        <v>23</v>
      </c>
      <c r="D227" s="35" t="s">
        <v>41</v>
      </c>
      <c r="E227" s="35" t="s">
        <v>25</v>
      </c>
      <c r="F227" s="35" t="s">
        <v>25</v>
      </c>
      <c r="G227" s="35" t="s">
        <v>25</v>
      </c>
      <c r="H227" s="35" t="s">
        <v>25</v>
      </c>
      <c r="I227" s="55">
        <v>44501</v>
      </c>
      <c r="J227" s="56">
        <f>EFEITO!$J$227*EFEITO!$Y$110</f>
        <v>0</v>
      </c>
      <c r="K227" s="56">
        <f ca="1">EFEITO!$L$227*EFEITO!$Z$110</f>
        <v>2062.705127776303</v>
      </c>
      <c r="L227" s="56">
        <f>EFEITO!$N$227*EFEITO!$AA$110</f>
        <v>599.51016992608561</v>
      </c>
      <c r="M227" s="56">
        <f>$J$227-EFEITO!$K$227*EFEITO!$Y$227</f>
        <v>0</v>
      </c>
      <c r="N227" s="56">
        <f ca="1">$K$227-EFEITO!$M$227*EFEITO!$Z$227</f>
        <v>123.76230766657795</v>
      </c>
      <c r="O227" s="56">
        <f>$L$227-EFEITO!$O$227*EFEITO!$AA$227</f>
        <v>35.9706101955652</v>
      </c>
      <c r="P227" s="39"/>
      <c r="Q227" s="39"/>
      <c r="R227" s="39"/>
      <c r="S227" s="39"/>
      <c r="T227" s="39"/>
      <c r="U227" s="39"/>
      <c r="V227" s="39"/>
      <c r="W227" s="39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35" t="s">
        <v>21</v>
      </c>
      <c r="B228" s="35" t="s">
        <v>40</v>
      </c>
      <c r="C228" s="35" t="s">
        <v>23</v>
      </c>
      <c r="D228" s="35" t="s">
        <v>41</v>
      </c>
      <c r="E228" s="35" t="s">
        <v>25</v>
      </c>
      <c r="F228" s="35" t="s">
        <v>25</v>
      </c>
      <c r="G228" s="35" t="s">
        <v>25</v>
      </c>
      <c r="H228" s="35" t="s">
        <v>25</v>
      </c>
      <c r="I228" s="55">
        <v>44531</v>
      </c>
      <c r="J228" s="56">
        <f>EFEITO!$J$228*EFEITO!$Y$110</f>
        <v>0</v>
      </c>
      <c r="K228" s="56">
        <f ca="1">EFEITO!$L$228*EFEITO!$Z$110</f>
        <v>163867.46121795767</v>
      </c>
      <c r="L228" s="56">
        <f>EFEITO!$N$228*EFEITO!$AA$110</f>
        <v>47626.879963226631</v>
      </c>
      <c r="M228" s="56">
        <f>$J$228-EFEITO!$K$228*EFEITO!$Y$228</f>
        <v>0</v>
      </c>
      <c r="N228" s="56">
        <f ca="1">$K$228-EFEITO!$M$228*EFEITO!$Z$228</f>
        <v>9832.0476730774681</v>
      </c>
      <c r="O228" s="56">
        <f>$L$228-EFEITO!$O$228*EFEITO!$AA$228</f>
        <v>2857.6127977935976</v>
      </c>
      <c r="P228" s="39"/>
      <c r="Q228" s="39"/>
      <c r="R228" s="39"/>
      <c r="S228" s="39"/>
      <c r="T228" s="39"/>
      <c r="U228" s="39"/>
      <c r="V228" s="39"/>
      <c r="W228" s="39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35" t="s">
        <v>28</v>
      </c>
      <c r="B229" s="35" t="s">
        <v>40</v>
      </c>
      <c r="C229" s="35" t="s">
        <v>23</v>
      </c>
      <c r="D229" s="35" t="s">
        <v>41</v>
      </c>
      <c r="E229" s="35" t="s">
        <v>25</v>
      </c>
      <c r="F229" s="35" t="s">
        <v>25</v>
      </c>
      <c r="G229" s="35" t="s">
        <v>25</v>
      </c>
      <c r="H229" s="35" t="s">
        <v>25</v>
      </c>
      <c r="I229" s="55">
        <v>44531</v>
      </c>
      <c r="J229" s="56">
        <f>EFEITO!$J$229*EFEITO!$Y$110</f>
        <v>0</v>
      </c>
      <c r="K229" s="56">
        <f ca="1">EFEITO!$L$229*EFEITO!$Z$110</f>
        <v>1352.3590629719831</v>
      </c>
      <c r="L229" s="56">
        <f>EFEITO!$N$229*EFEITO!$AA$110</f>
        <v>393.05327781748758</v>
      </c>
      <c r="M229" s="56">
        <f>$J$229-EFEITO!$K$229*EFEITO!$Y$229</f>
        <v>0</v>
      </c>
      <c r="N229" s="56">
        <f ca="1">$K$229-EFEITO!$M$229*EFEITO!$Z$229</f>
        <v>81.141543778319146</v>
      </c>
      <c r="O229" s="56">
        <f>$L$229-EFEITO!$O$229*EFEITO!$AA$229</f>
        <v>23.5831966690493</v>
      </c>
      <c r="P229" s="39"/>
      <c r="Q229" s="39"/>
      <c r="R229" s="39"/>
      <c r="S229" s="39"/>
      <c r="T229" s="39"/>
      <c r="U229" s="39"/>
      <c r="V229" s="39"/>
      <c r="W229" s="39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35" t="s">
        <v>21</v>
      </c>
      <c r="B230" s="35" t="s">
        <v>40</v>
      </c>
      <c r="C230" s="35" t="s">
        <v>23</v>
      </c>
      <c r="D230" s="35" t="s">
        <v>41</v>
      </c>
      <c r="E230" s="35" t="s">
        <v>25</v>
      </c>
      <c r="F230" s="35" t="s">
        <v>25</v>
      </c>
      <c r="G230" s="35" t="s">
        <v>25</v>
      </c>
      <c r="H230" s="35" t="s">
        <v>25</v>
      </c>
      <c r="I230" s="55">
        <v>44562</v>
      </c>
      <c r="J230" s="56">
        <f>EFEITO!$J$230*EFEITO!$Y$110</f>
        <v>0</v>
      </c>
      <c r="K230" s="56">
        <f ca="1">EFEITO!$L$230*EFEITO!$Z$110</f>
        <v>179130.63162159055</v>
      </c>
      <c r="L230" s="56">
        <f>EFEITO!$N$230*EFEITO!$AA$110</f>
        <v>52063.008888817349</v>
      </c>
      <c r="M230" s="56">
        <f>$J$230-EFEITO!$K$230*EFEITO!$Y$230</f>
        <v>0</v>
      </c>
      <c r="N230" s="56">
        <f ca="1">$K$230-EFEITO!$M$230*EFEITO!$Z$230</f>
        <v>10747.837897295452</v>
      </c>
      <c r="O230" s="56">
        <f>$L$230-EFEITO!$O$230*EFEITO!$AA$230</f>
        <v>3123.7805333290453</v>
      </c>
      <c r="P230" s="39"/>
      <c r="Q230" s="39"/>
      <c r="R230" s="39"/>
      <c r="S230" s="39"/>
      <c r="T230" s="39"/>
      <c r="U230" s="39"/>
      <c r="V230" s="39"/>
      <c r="W230" s="39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35" t="s">
        <v>28</v>
      </c>
      <c r="B231" s="35" t="s">
        <v>40</v>
      </c>
      <c r="C231" s="35" t="s">
        <v>23</v>
      </c>
      <c r="D231" s="35" t="s">
        <v>41</v>
      </c>
      <c r="E231" s="35" t="s">
        <v>25</v>
      </c>
      <c r="F231" s="35" t="s">
        <v>25</v>
      </c>
      <c r="G231" s="35" t="s">
        <v>25</v>
      </c>
      <c r="H231" s="35" t="s">
        <v>25</v>
      </c>
      <c r="I231" s="55">
        <v>44562</v>
      </c>
      <c r="J231" s="56">
        <f>EFEITO!$J$231*EFEITO!$Y$110</f>
        <v>0</v>
      </c>
      <c r="K231" s="56">
        <f ca="1">EFEITO!$L$231*EFEITO!$Z$110</f>
        <v>952.4252233543383</v>
      </c>
      <c r="L231" s="56">
        <f>EFEITO!$N$231*EFEITO!$AA$110</f>
        <v>276.81543028430968</v>
      </c>
      <c r="M231" s="56">
        <f>$J$231-EFEITO!$K$231*EFEITO!$Y$231</f>
        <v>0</v>
      </c>
      <c r="N231" s="56">
        <f ca="1">$K$231-EFEITO!$M$231*EFEITO!$Z$231</f>
        <v>57.145513401260359</v>
      </c>
      <c r="O231" s="56">
        <f>$L$231-EFEITO!$O$231*EFEITO!$AA$231</f>
        <v>16.608925817058605</v>
      </c>
      <c r="P231" s="39"/>
      <c r="Q231" s="39"/>
      <c r="R231" s="39"/>
      <c r="S231" s="39"/>
      <c r="T231" s="39"/>
      <c r="U231" s="39"/>
      <c r="V231" s="39"/>
      <c r="W231" s="39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35" t="s">
        <v>21</v>
      </c>
      <c r="B232" s="35" t="s">
        <v>40</v>
      </c>
      <c r="C232" s="35" t="s">
        <v>23</v>
      </c>
      <c r="D232" s="35" t="s">
        <v>41</v>
      </c>
      <c r="E232" s="35" t="s">
        <v>25</v>
      </c>
      <c r="F232" s="35" t="s">
        <v>25</v>
      </c>
      <c r="G232" s="35" t="s">
        <v>25</v>
      </c>
      <c r="H232" s="35" t="s">
        <v>25</v>
      </c>
      <c r="I232" s="55">
        <v>44593</v>
      </c>
      <c r="J232" s="56">
        <f>EFEITO!$J$232*EFEITO!$Y$110</f>
        <v>0</v>
      </c>
      <c r="K232" s="56">
        <f ca="1">EFEITO!$L$232*EFEITO!$Z$110</f>
        <v>143347.94182025077</v>
      </c>
      <c r="L232" s="56">
        <f>EFEITO!$N$232*EFEITO!$AA$110</f>
        <v>41663.031618997877</v>
      </c>
      <c r="M232" s="56">
        <f>$J$232-EFEITO!$K$232*EFEITO!$Y$232</f>
        <v>0</v>
      </c>
      <c r="N232" s="56">
        <f ca="1">$K$232-EFEITO!$M$232*EFEITO!$Z$232</f>
        <v>8600.8765092150716</v>
      </c>
      <c r="O232" s="56">
        <f>$L$232-EFEITO!$O$232*EFEITO!$AA$232</f>
        <v>2499.781897139881</v>
      </c>
      <c r="P232" s="39"/>
      <c r="Q232" s="39"/>
      <c r="R232" s="39"/>
      <c r="S232" s="39"/>
      <c r="T232" s="39"/>
      <c r="U232" s="39"/>
      <c r="V232" s="39"/>
      <c r="W232" s="39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35" t="s">
        <v>27</v>
      </c>
      <c r="B233" s="35" t="s">
        <v>40</v>
      </c>
      <c r="C233" s="35" t="s">
        <v>23</v>
      </c>
      <c r="D233" s="35" t="s">
        <v>41</v>
      </c>
      <c r="E233" s="35" t="s">
        <v>25</v>
      </c>
      <c r="F233" s="35" t="s">
        <v>25</v>
      </c>
      <c r="G233" s="35" t="s">
        <v>25</v>
      </c>
      <c r="H233" s="35" t="s">
        <v>25</v>
      </c>
      <c r="I233" s="55">
        <v>44593</v>
      </c>
      <c r="J233" s="56">
        <f>EFEITO!$J$233*EFEITO!$Y$110</f>
        <v>0</v>
      </c>
      <c r="K233" s="56">
        <f ca="1">EFEITO!$L$233*EFEITO!$Z$110</f>
        <v>-32.312535386326267</v>
      </c>
      <c r="L233" s="56">
        <f>EFEITO!$N$233*EFEITO!$AA$110</f>
        <v>-9.3914022510249673</v>
      </c>
      <c r="M233" s="56">
        <f>$J$233-EFEITO!$K$233*EFEITO!$Y$233</f>
        <v>0</v>
      </c>
      <c r="N233" s="56">
        <f ca="1">$K$233-EFEITO!$M$233*EFEITO!$Z$233</f>
        <v>-1.9387521231795759</v>
      </c>
      <c r="O233" s="56">
        <f>$L$233-EFEITO!$O$233*EFEITO!$AA$233</f>
        <v>-0.56348413506149875</v>
      </c>
      <c r="P233" s="39"/>
      <c r="Q233" s="39"/>
      <c r="R233" s="39"/>
      <c r="S233" s="39"/>
      <c r="T233" s="39"/>
      <c r="U233" s="39"/>
      <c r="V233" s="39"/>
      <c r="W233" s="39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35" t="s">
        <v>28</v>
      </c>
      <c r="B234" s="35" t="s">
        <v>40</v>
      </c>
      <c r="C234" s="35" t="s">
        <v>23</v>
      </c>
      <c r="D234" s="35" t="s">
        <v>41</v>
      </c>
      <c r="E234" s="35" t="s">
        <v>25</v>
      </c>
      <c r="F234" s="35" t="s">
        <v>25</v>
      </c>
      <c r="G234" s="35" t="s">
        <v>25</v>
      </c>
      <c r="H234" s="35" t="s">
        <v>25</v>
      </c>
      <c r="I234" s="55">
        <v>44593</v>
      </c>
      <c r="J234" s="56">
        <f>EFEITO!$J$234*EFEITO!$Y$110</f>
        <v>0</v>
      </c>
      <c r="K234" s="56">
        <f ca="1">EFEITO!$L$234*EFEITO!$Z$110</f>
        <v>3977.6201346872781</v>
      </c>
      <c r="L234" s="56">
        <f>EFEITO!$N$234*EFEITO!$AA$110</f>
        <v>1156.0662213597784</v>
      </c>
      <c r="M234" s="56">
        <f>$J$234-EFEITO!$K$234*EFEITO!$Y$234</f>
        <v>0</v>
      </c>
      <c r="N234" s="56">
        <f ca="1">$K$234-EFEITO!$M$234*EFEITO!$Z$234</f>
        <v>238.6572080812366</v>
      </c>
      <c r="O234" s="56">
        <f>$L$234-EFEITO!$O$234*EFEITO!$AA$234</f>
        <v>69.363973281586823</v>
      </c>
      <c r="P234" s="39"/>
      <c r="Q234" s="39"/>
      <c r="R234" s="39"/>
      <c r="S234" s="39"/>
      <c r="T234" s="39"/>
      <c r="U234" s="39"/>
      <c r="V234" s="39"/>
      <c r="W234" s="39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35" t="s">
        <v>21</v>
      </c>
      <c r="B235" s="35" t="s">
        <v>40</v>
      </c>
      <c r="C235" s="35" t="s">
        <v>23</v>
      </c>
      <c r="D235" s="35" t="s">
        <v>41</v>
      </c>
      <c r="E235" s="35" t="s">
        <v>25</v>
      </c>
      <c r="F235" s="35" t="s">
        <v>25</v>
      </c>
      <c r="G235" s="35" t="s">
        <v>25</v>
      </c>
      <c r="H235" s="35" t="s">
        <v>25</v>
      </c>
      <c r="I235" s="55">
        <v>44621</v>
      </c>
      <c r="J235" s="56">
        <f>EFEITO!$J$235*EFEITO!$Y$110</f>
        <v>0</v>
      </c>
      <c r="K235" s="56">
        <f ca="1">EFEITO!$L$235*EFEITO!$Z$110</f>
        <v>138933.83760100068</v>
      </c>
      <c r="L235" s="56">
        <f>EFEITO!$N$235*EFEITO!$AA$110</f>
        <v>40380.104488542289</v>
      </c>
      <c r="M235" s="56">
        <f>$J$235-EFEITO!$K$235*EFEITO!$Y$235</f>
        <v>0</v>
      </c>
      <c r="N235" s="56">
        <f ca="1">$K$235-EFEITO!$M$235*EFEITO!$Z$235</f>
        <v>8336.0302560600539</v>
      </c>
      <c r="O235" s="56">
        <f>$L$235-EFEITO!$O$235*EFEITO!$AA$235</f>
        <v>2422.8062693125394</v>
      </c>
      <c r="P235" s="39"/>
      <c r="Q235" s="39"/>
      <c r="R235" s="39"/>
      <c r="S235" s="39"/>
      <c r="T235" s="39"/>
      <c r="U235" s="39"/>
      <c r="V235" s="39"/>
      <c r="W235" s="39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35" t="s">
        <v>28</v>
      </c>
      <c r="B236" s="35" t="s">
        <v>40</v>
      </c>
      <c r="C236" s="35" t="s">
        <v>23</v>
      </c>
      <c r="D236" s="35" t="s">
        <v>41</v>
      </c>
      <c r="E236" s="35" t="s">
        <v>25</v>
      </c>
      <c r="F236" s="35" t="s">
        <v>25</v>
      </c>
      <c r="G236" s="35" t="s">
        <v>25</v>
      </c>
      <c r="H236" s="35" t="s">
        <v>25</v>
      </c>
      <c r="I236" s="55">
        <v>44621</v>
      </c>
      <c r="J236" s="56">
        <f>EFEITO!$J$236*EFEITO!$Y$110</f>
        <v>0</v>
      </c>
      <c r="K236" s="56">
        <f ca="1">EFEITO!$L$236*EFEITO!$Z$110</f>
        <v>4306.0426254991189</v>
      </c>
      <c r="L236" s="56">
        <f>EFEITO!$N$236*EFEITO!$AA$110</f>
        <v>1251.5198180095401</v>
      </c>
      <c r="M236" s="56">
        <f>$J$236-EFEITO!$K$236*EFEITO!$Y$236</f>
        <v>0</v>
      </c>
      <c r="N236" s="56">
        <f ca="1">$K$236-EFEITO!$M$236*EFEITO!$Z$236</f>
        <v>258.36255752994748</v>
      </c>
      <c r="O236" s="56">
        <f>$L$236-EFEITO!$O$236*EFEITO!$AA$236</f>
        <v>75.091189080572349</v>
      </c>
      <c r="P236" s="39"/>
      <c r="Q236" s="39"/>
      <c r="R236" s="39"/>
      <c r="S236" s="39"/>
      <c r="T236" s="39"/>
      <c r="U236" s="39"/>
      <c r="V236" s="39"/>
      <c r="W236" s="39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35" t="s">
        <v>21</v>
      </c>
      <c r="B237" s="35" t="s">
        <v>40</v>
      </c>
      <c r="C237" s="35" t="s">
        <v>23</v>
      </c>
      <c r="D237" s="35" t="s">
        <v>41</v>
      </c>
      <c r="E237" s="35" t="s">
        <v>25</v>
      </c>
      <c r="F237" s="35" t="s">
        <v>25</v>
      </c>
      <c r="G237" s="35" t="s">
        <v>25</v>
      </c>
      <c r="H237" s="35" t="s">
        <v>25</v>
      </c>
      <c r="I237" s="55">
        <v>44652</v>
      </c>
      <c r="J237" s="56">
        <f>EFEITO!$J$237*EFEITO!$Y$110</f>
        <v>0</v>
      </c>
      <c r="K237" s="56">
        <f ca="1">EFEITO!$L$237*EFEITO!$Z$110</f>
        <v>134403.7260825767</v>
      </c>
      <c r="L237" s="56">
        <f>EFEITO!$N$237*EFEITO!$AA$110</f>
        <v>39063.460684431375</v>
      </c>
      <c r="M237" s="56">
        <f>$J$237-EFEITO!$K$237*EFEITO!$Y$237</f>
        <v>0</v>
      </c>
      <c r="N237" s="56">
        <f ca="1">$K$237-EFEITO!$M$237*EFEITO!$Z$237</f>
        <v>8064.2235649546055</v>
      </c>
      <c r="O237" s="56">
        <f>$L$237-EFEITO!$O$237*EFEITO!$AA$237</f>
        <v>2343.8076410658832</v>
      </c>
      <c r="P237" s="39"/>
      <c r="Q237" s="39"/>
      <c r="R237" s="39"/>
      <c r="S237" s="39"/>
      <c r="T237" s="39"/>
      <c r="U237" s="39"/>
      <c r="V237" s="39"/>
      <c r="W237" s="39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35" t="s">
        <v>28</v>
      </c>
      <c r="B238" s="35" t="s">
        <v>40</v>
      </c>
      <c r="C238" s="35" t="s">
        <v>23</v>
      </c>
      <c r="D238" s="35" t="s">
        <v>41</v>
      </c>
      <c r="E238" s="35" t="s">
        <v>25</v>
      </c>
      <c r="F238" s="35" t="s">
        <v>25</v>
      </c>
      <c r="G238" s="35" t="s">
        <v>25</v>
      </c>
      <c r="H238" s="35" t="s">
        <v>25</v>
      </c>
      <c r="I238" s="55">
        <v>44652</v>
      </c>
      <c r="J238" s="56">
        <f>EFEITO!$J$238*EFEITO!$Y$110</f>
        <v>0</v>
      </c>
      <c r="K238" s="56">
        <f ca="1">EFEITO!$L$238*EFEITO!$Z$110</f>
        <v>5840.0934858073297</v>
      </c>
      <c r="L238" s="56">
        <f>EFEITO!$N$238*EFEITO!$AA$110</f>
        <v>1697.3804888122995</v>
      </c>
      <c r="M238" s="56">
        <f>$J$238-EFEITO!$K$238*EFEITO!$Y$238</f>
        <v>0</v>
      </c>
      <c r="N238" s="56">
        <f ca="1">$K$238-EFEITO!$M$238*EFEITO!$Z$238</f>
        <v>350.40560914843991</v>
      </c>
      <c r="O238" s="56">
        <f>$L$238-EFEITO!$O$238*EFEITO!$AA$238</f>
        <v>101.84282932873816</v>
      </c>
      <c r="P238" s="39"/>
      <c r="Q238" s="39"/>
      <c r="R238" s="39"/>
      <c r="S238" s="39"/>
      <c r="T238" s="39"/>
      <c r="U238" s="39"/>
      <c r="V238" s="39"/>
      <c r="W238" s="39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35" t="s">
        <v>21</v>
      </c>
      <c r="B239" s="35" t="s">
        <v>40</v>
      </c>
      <c r="C239" s="35" t="s">
        <v>23</v>
      </c>
      <c r="D239" s="35" t="s">
        <v>41</v>
      </c>
      <c r="E239" s="35" t="s">
        <v>25</v>
      </c>
      <c r="F239" s="35" t="s">
        <v>25</v>
      </c>
      <c r="G239" s="35" t="s">
        <v>25</v>
      </c>
      <c r="H239" s="35" t="s">
        <v>25</v>
      </c>
      <c r="I239" s="55">
        <v>44682</v>
      </c>
      <c r="J239" s="56">
        <f>EFEITO!$J$239*EFEITO!$Y$110</f>
        <v>0</v>
      </c>
      <c r="K239" s="56">
        <f ca="1">EFEITO!$L$239*EFEITO!$Z$110</f>
        <v>120654.47741884743</v>
      </c>
      <c r="L239" s="56">
        <f>EFEITO!$N$239*EFEITO!$AA$110</f>
        <v>35067.342047913276</v>
      </c>
      <c r="M239" s="56">
        <f>$J$239-EFEITO!$K$239*EFEITO!$Y$239</f>
        <v>0</v>
      </c>
      <c r="N239" s="56">
        <f ca="1">$K$239-EFEITO!$M$239*EFEITO!$Z$239</f>
        <v>7239.26864513084</v>
      </c>
      <c r="O239" s="56">
        <f>$L$239-EFEITO!$O$239*EFEITO!$AA$239</f>
        <v>2104.0405228747986</v>
      </c>
      <c r="P239" s="39"/>
      <c r="Q239" s="39"/>
      <c r="R239" s="39"/>
      <c r="S239" s="39"/>
      <c r="T239" s="39"/>
      <c r="U239" s="39"/>
      <c r="V239" s="39"/>
      <c r="W239" s="39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35" t="s">
        <v>27</v>
      </c>
      <c r="B240" s="35" t="s">
        <v>40</v>
      </c>
      <c r="C240" s="35" t="s">
        <v>23</v>
      </c>
      <c r="D240" s="35" t="s">
        <v>41</v>
      </c>
      <c r="E240" s="35" t="s">
        <v>25</v>
      </c>
      <c r="F240" s="35" t="s">
        <v>25</v>
      </c>
      <c r="G240" s="35" t="s">
        <v>25</v>
      </c>
      <c r="H240" s="35" t="s">
        <v>25</v>
      </c>
      <c r="I240" s="55">
        <v>44682</v>
      </c>
      <c r="J240" s="56">
        <f>EFEITO!$J$240*EFEITO!$Y$110</f>
        <v>0</v>
      </c>
      <c r="K240" s="56">
        <f ca="1">EFEITO!$L$240*EFEITO!$Z$110</f>
        <v>-1552.0611259333766</v>
      </c>
      <c r="L240" s="56">
        <f>EFEITO!$N$240*EFEITO!$AA$110</f>
        <v>-451.09522287710092</v>
      </c>
      <c r="M240" s="56">
        <f>$J$240-EFEITO!$K$240*EFEITO!$Y$240</f>
        <v>0</v>
      </c>
      <c r="N240" s="56">
        <f ca="1">$K$240-EFEITO!$M$240*EFEITO!$Z$240</f>
        <v>-93.123667556002601</v>
      </c>
      <c r="O240" s="56">
        <f>$L$240-EFEITO!$O$240*EFEITO!$AA$240</f>
        <v>-27.065713372626135</v>
      </c>
      <c r="P240" s="39"/>
      <c r="Q240" s="39"/>
      <c r="R240" s="39"/>
      <c r="S240" s="39"/>
      <c r="T240" s="39"/>
      <c r="U240" s="39"/>
      <c r="V240" s="39"/>
      <c r="W240" s="39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35" t="s">
        <v>28</v>
      </c>
      <c r="B241" s="35" t="s">
        <v>40</v>
      </c>
      <c r="C241" s="35" t="s">
        <v>23</v>
      </c>
      <c r="D241" s="35" t="s">
        <v>41</v>
      </c>
      <c r="E241" s="35" t="s">
        <v>25</v>
      </c>
      <c r="F241" s="35" t="s">
        <v>25</v>
      </c>
      <c r="G241" s="35" t="s">
        <v>25</v>
      </c>
      <c r="H241" s="35" t="s">
        <v>25</v>
      </c>
      <c r="I241" s="55">
        <v>44682</v>
      </c>
      <c r="J241" s="56">
        <f>EFEITO!$J$241*EFEITO!$Y$110</f>
        <v>0</v>
      </c>
      <c r="K241" s="56">
        <f ca="1">EFEITO!$L$241*EFEITO!$Z$110</f>
        <v>6682.8679743261018</v>
      </c>
      <c r="L241" s="56">
        <f>EFEITO!$N$241*EFEITO!$AA$110</f>
        <v>1942.3267344087046</v>
      </c>
      <c r="M241" s="56">
        <f>$J$241-EFEITO!$K$241*EFEITO!$Y$241</f>
        <v>0</v>
      </c>
      <c r="N241" s="56">
        <f ca="1">$K$241-EFEITO!$M$241*EFEITO!$Z$241</f>
        <v>400.97207845956655</v>
      </c>
      <c r="O241" s="56">
        <f>$L$241-EFEITO!$O$241*EFEITO!$AA$241</f>
        <v>116.53960406452234</v>
      </c>
      <c r="P241" s="39"/>
      <c r="Q241" s="39"/>
      <c r="R241" s="39"/>
      <c r="S241" s="39"/>
      <c r="T241" s="39"/>
      <c r="U241" s="39"/>
      <c r="V241" s="39"/>
      <c r="W241" s="39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35" t="s">
        <v>21</v>
      </c>
      <c r="B242" s="35" t="s">
        <v>40</v>
      </c>
      <c r="C242" s="35" t="s">
        <v>23</v>
      </c>
      <c r="D242" s="35" t="s">
        <v>41</v>
      </c>
      <c r="E242" s="35" t="s">
        <v>25</v>
      </c>
      <c r="F242" s="35" t="s">
        <v>25</v>
      </c>
      <c r="G242" s="35" t="s">
        <v>25</v>
      </c>
      <c r="H242" s="35" t="s">
        <v>25</v>
      </c>
      <c r="I242" s="55">
        <v>44713</v>
      </c>
      <c r="J242" s="56">
        <f>EFEITO!$J$242*EFEITO!$Y$110</f>
        <v>0</v>
      </c>
      <c r="K242" s="56">
        <f ca="1">EFEITO!$L$242*EFEITO!$Z$110</f>
        <v>132169.92343136133</v>
      </c>
      <c r="L242" s="56">
        <f>EFEITO!$N$242*EFEITO!$AA$110</f>
        <v>38414.222269799044</v>
      </c>
      <c r="M242" s="56">
        <f>$J$242-EFEITO!$K$242*EFEITO!$Y$242</f>
        <v>0</v>
      </c>
      <c r="N242" s="56">
        <f ca="1">$K$242-EFEITO!$M$242*EFEITO!$Z$242</f>
        <v>7930.1954058816918</v>
      </c>
      <c r="O242" s="56">
        <f>$L$242-EFEITO!$O$242*EFEITO!$AA$242</f>
        <v>2304.8533361879454</v>
      </c>
      <c r="P242" s="39"/>
      <c r="Q242" s="39"/>
      <c r="R242" s="39"/>
      <c r="S242" s="39"/>
      <c r="T242" s="39"/>
      <c r="U242" s="39"/>
      <c r="V242" s="39"/>
      <c r="W242" s="39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35" t="s">
        <v>28</v>
      </c>
      <c r="B243" s="35" t="s">
        <v>40</v>
      </c>
      <c r="C243" s="35" t="s">
        <v>23</v>
      </c>
      <c r="D243" s="35" t="s">
        <v>41</v>
      </c>
      <c r="E243" s="35" t="s">
        <v>25</v>
      </c>
      <c r="F243" s="35" t="s">
        <v>25</v>
      </c>
      <c r="G243" s="35" t="s">
        <v>25</v>
      </c>
      <c r="H243" s="35" t="s">
        <v>25</v>
      </c>
      <c r="I243" s="55">
        <v>44713</v>
      </c>
      <c r="J243" s="56">
        <f>EFEITO!$J$243*EFEITO!$Y$110</f>
        <v>0</v>
      </c>
      <c r="K243" s="56">
        <f ca="1">EFEITO!$L$243*EFEITO!$Z$110</f>
        <v>13754.545800677835</v>
      </c>
      <c r="L243" s="56">
        <f>EFEITO!$N$243*EFEITO!$AA$110</f>
        <v>3997.6582106576116</v>
      </c>
      <c r="M243" s="56">
        <f>$J$243-EFEITO!$K$243*EFEITO!$Y$243</f>
        <v>0</v>
      </c>
      <c r="N243" s="56">
        <f ca="1">$K$243-EFEITO!$M$243*EFEITO!$Z$243</f>
        <v>825.27274804067019</v>
      </c>
      <c r="O243" s="56">
        <f>$L$243-EFEITO!$O$243*EFEITO!$AA$243</f>
        <v>239.85949263945713</v>
      </c>
      <c r="P243" s="39"/>
      <c r="Q243" s="39"/>
      <c r="R243" s="39"/>
      <c r="S243" s="39"/>
      <c r="T243" s="39"/>
      <c r="U243" s="39"/>
      <c r="V243" s="39"/>
      <c r="W243" s="39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35" t="s">
        <v>21</v>
      </c>
      <c r="B244" s="35" t="s">
        <v>40</v>
      </c>
      <c r="C244" s="35" t="s">
        <v>23</v>
      </c>
      <c r="D244" s="35" t="s">
        <v>41</v>
      </c>
      <c r="E244" s="35" t="s">
        <v>25</v>
      </c>
      <c r="F244" s="35" t="s">
        <v>25</v>
      </c>
      <c r="G244" s="35" t="s">
        <v>25</v>
      </c>
      <c r="H244" s="35" t="s">
        <v>25</v>
      </c>
      <c r="I244" s="55">
        <v>44743</v>
      </c>
      <c r="J244" s="56">
        <f>EFEITO!$J$244*EFEITO!$Y$110</f>
        <v>0</v>
      </c>
      <c r="K244" s="56">
        <f ca="1">EFEITO!$L$244*EFEITO!$Z$110</f>
        <v>113077.9824412962</v>
      </c>
      <c r="L244" s="56">
        <f>EFEITO!$N$244*EFEITO!$AA$110</f>
        <v>32865.289156168852</v>
      </c>
      <c r="M244" s="56">
        <f>$J$244-EFEITO!$K$244*EFEITO!$Y$244</f>
        <v>0</v>
      </c>
      <c r="N244" s="56">
        <f ca="1">$K$244-EFEITO!$M$244*EFEITO!$Z$244</f>
        <v>6784.6789464777685</v>
      </c>
      <c r="O244" s="56">
        <f>$L$244-EFEITO!$O$244*EFEITO!$AA$244</f>
        <v>1971.9173493701383</v>
      </c>
      <c r="P244" s="39"/>
      <c r="Q244" s="39"/>
      <c r="R244" s="39"/>
      <c r="S244" s="39"/>
      <c r="T244" s="39"/>
      <c r="U244" s="39"/>
      <c r="V244" s="39"/>
      <c r="W244" s="39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35" t="s">
        <v>28</v>
      </c>
      <c r="B245" s="35" t="s">
        <v>40</v>
      </c>
      <c r="C245" s="35" t="s">
        <v>23</v>
      </c>
      <c r="D245" s="35" t="s">
        <v>41</v>
      </c>
      <c r="E245" s="35" t="s">
        <v>25</v>
      </c>
      <c r="F245" s="35" t="s">
        <v>25</v>
      </c>
      <c r="G245" s="35" t="s">
        <v>25</v>
      </c>
      <c r="H245" s="35" t="s">
        <v>25</v>
      </c>
      <c r="I245" s="55">
        <v>44743</v>
      </c>
      <c r="J245" s="56">
        <f>EFEITO!$J$245*EFEITO!$Y$110</f>
        <v>0</v>
      </c>
      <c r="K245" s="56">
        <f ca="1">EFEITO!$L$245*EFEITO!$Z$110</f>
        <v>8996.657393465006</v>
      </c>
      <c r="L245" s="56">
        <f>EFEITO!$N$245*EFEITO!$AA$110</f>
        <v>2614.8127185476733</v>
      </c>
      <c r="M245" s="56">
        <f>$J$245-EFEITO!$K$245*EFEITO!$Y$245</f>
        <v>0</v>
      </c>
      <c r="N245" s="56">
        <f ca="1">$K$245-EFEITO!$M$245*EFEITO!$Z$245</f>
        <v>539.79944360790068</v>
      </c>
      <c r="O245" s="56">
        <f>$L$245-EFEITO!$O$245*EFEITO!$AA$245</f>
        <v>156.88876311286094</v>
      </c>
      <c r="P245" s="39"/>
      <c r="Q245" s="39"/>
      <c r="R245" s="39"/>
      <c r="S245" s="39"/>
      <c r="T245" s="39"/>
      <c r="U245" s="39"/>
      <c r="V245" s="39"/>
      <c r="W245" s="39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35" t="s">
        <v>21</v>
      </c>
      <c r="B246" s="35" t="s">
        <v>40</v>
      </c>
      <c r="C246" s="35" t="s">
        <v>23</v>
      </c>
      <c r="D246" s="35" t="s">
        <v>41</v>
      </c>
      <c r="E246" s="35" t="s">
        <v>25</v>
      </c>
      <c r="F246" s="35" t="s">
        <v>25</v>
      </c>
      <c r="G246" s="35" t="s">
        <v>25</v>
      </c>
      <c r="H246" s="35" t="s">
        <v>25</v>
      </c>
      <c r="I246" s="55">
        <v>44774</v>
      </c>
      <c r="J246" s="56">
        <f>EFEITO!$J$246*EFEITO!$Y$110</f>
        <v>0</v>
      </c>
      <c r="K246" s="56">
        <f ca="1">EFEITO!$L$246*EFEITO!$Z$110</f>
        <v>125532.08112109812</v>
      </c>
      <c r="L246" s="56">
        <f>EFEITO!$N$246*EFEITO!$AA$110</f>
        <v>36484.981915576194</v>
      </c>
      <c r="M246" s="56">
        <f>$J$246-EFEITO!$K$246*EFEITO!$Y$246</f>
        <v>0</v>
      </c>
      <c r="N246" s="56">
        <f ca="1">$K$246-EFEITO!$M$246*EFEITO!$Z$246</f>
        <v>7531.9248672658869</v>
      </c>
      <c r="O246" s="56">
        <f>$L$246-EFEITO!$O$246*EFEITO!$AA$246</f>
        <v>2189.0989149345769</v>
      </c>
      <c r="P246" s="39"/>
      <c r="Q246" s="39"/>
      <c r="R246" s="39"/>
      <c r="S246" s="39"/>
      <c r="T246" s="39"/>
      <c r="U246" s="39"/>
      <c r="V246" s="39"/>
      <c r="W246" s="39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35" t="s">
        <v>28</v>
      </c>
      <c r="B247" s="35" t="s">
        <v>40</v>
      </c>
      <c r="C247" s="35" t="s">
        <v>23</v>
      </c>
      <c r="D247" s="35" t="s">
        <v>41</v>
      </c>
      <c r="E247" s="35" t="s">
        <v>25</v>
      </c>
      <c r="F247" s="35" t="s">
        <v>25</v>
      </c>
      <c r="G247" s="35" t="s">
        <v>25</v>
      </c>
      <c r="H247" s="35" t="s">
        <v>25</v>
      </c>
      <c r="I247" s="55">
        <v>44774</v>
      </c>
      <c r="J247" s="56">
        <f>EFEITO!$J$247*EFEITO!$Y$110</f>
        <v>0</v>
      </c>
      <c r="K247" s="56">
        <f ca="1">EFEITO!$L$247*EFEITO!$Z$110</f>
        <v>8285.7816149658283</v>
      </c>
      <c r="L247" s="56">
        <f>EFEITO!$N$247*EFEITO!$AA$110</f>
        <v>2408.2018690251234</v>
      </c>
      <c r="M247" s="56">
        <f>$J$247-EFEITO!$K$247*EFEITO!$Y$247</f>
        <v>0</v>
      </c>
      <c r="N247" s="56">
        <f ca="1">$K$247-EFEITO!$M$247*EFEITO!$Z$247</f>
        <v>497.14689689795068</v>
      </c>
      <c r="O247" s="56">
        <f>$L$247-EFEITO!$O$247*EFEITO!$AA$247</f>
        <v>144.49211214150773</v>
      </c>
      <c r="P247" s="39"/>
      <c r="Q247" s="39"/>
      <c r="R247" s="39"/>
      <c r="S247" s="39"/>
      <c r="T247" s="39"/>
      <c r="U247" s="39"/>
      <c r="V247" s="39"/>
      <c r="W247" s="39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35" t="s">
        <v>21</v>
      </c>
      <c r="B248" s="35" t="s">
        <v>33</v>
      </c>
      <c r="C248" s="35" t="s">
        <v>23</v>
      </c>
      <c r="D248" s="35" t="s">
        <v>39</v>
      </c>
      <c r="E248" s="35" t="s">
        <v>25</v>
      </c>
      <c r="F248" s="35" t="s">
        <v>25</v>
      </c>
      <c r="G248" s="35" t="s">
        <v>25</v>
      </c>
      <c r="H248" s="35" t="s">
        <v>25</v>
      </c>
      <c r="I248" s="55">
        <v>44440</v>
      </c>
      <c r="J248" s="56">
        <f>EFEITO!$J$248*EFEITO!$Y$248</f>
        <v>0</v>
      </c>
      <c r="K248" s="56">
        <f ca="1">EFEITO!$L$248*EFEITO!$Z$248</f>
        <v>115948.50095373068</v>
      </c>
      <c r="L248" s="56">
        <f>EFEITO!$N$248*EFEITO!$AA$248</f>
        <v>33699.584382370558</v>
      </c>
      <c r="M248" s="56">
        <f>$J$248-EFEITO!$K$248*EFEITO!$Y$248</f>
        <v>0</v>
      </c>
      <c r="N248" s="56">
        <f ca="1">$K$248-EFEITO!$M$248*EFEITO!$Z$248</f>
        <v>0</v>
      </c>
      <c r="O248" s="56">
        <f>$L$248-EFEITO!$O$248*EFEITO!$AA$248</f>
        <v>0</v>
      </c>
      <c r="P248" s="39"/>
      <c r="Q248" s="39"/>
      <c r="R248" s="39"/>
      <c r="S248" s="39"/>
      <c r="T248" s="39"/>
      <c r="U248" s="39"/>
      <c r="V248" s="39"/>
      <c r="W248" s="39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35" t="s">
        <v>28</v>
      </c>
      <c r="B249" s="35" t="s">
        <v>33</v>
      </c>
      <c r="C249" s="35" t="s">
        <v>23</v>
      </c>
      <c r="D249" s="35" t="s">
        <v>39</v>
      </c>
      <c r="E249" s="35" t="s">
        <v>25</v>
      </c>
      <c r="F249" s="35" t="s">
        <v>25</v>
      </c>
      <c r="G249" s="35" t="s">
        <v>25</v>
      </c>
      <c r="H249" s="35" t="s">
        <v>25</v>
      </c>
      <c r="I249" s="55">
        <v>44440</v>
      </c>
      <c r="J249" s="56">
        <f>EFEITO!$J$249*EFEITO!$Y$249</f>
        <v>0</v>
      </c>
      <c r="K249" s="56">
        <f ca="1">EFEITO!$L$249*EFEITO!$Z$249</f>
        <v>5134.5148442567297</v>
      </c>
      <c r="L249" s="56">
        <f>EFEITO!$N$249*EFEITO!$AA$249</f>
        <v>1492.3092134292624</v>
      </c>
      <c r="M249" s="56">
        <f>$J$249-EFEITO!$K$249*EFEITO!$Y$249</f>
        <v>0</v>
      </c>
      <c r="N249" s="56">
        <f ca="1">$K$249-EFEITO!$M$249*EFEITO!$Z$249</f>
        <v>0</v>
      </c>
      <c r="O249" s="56">
        <f>$L$249-EFEITO!$O$249*EFEITO!$AA$249</f>
        <v>0</v>
      </c>
      <c r="P249" s="39"/>
      <c r="Q249" s="39"/>
      <c r="R249" s="39"/>
      <c r="S249" s="39"/>
      <c r="T249" s="39"/>
      <c r="U249" s="39"/>
      <c r="V249" s="39"/>
      <c r="W249" s="39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35" t="s">
        <v>21</v>
      </c>
      <c r="B250" s="35" t="s">
        <v>33</v>
      </c>
      <c r="C250" s="35" t="s">
        <v>23</v>
      </c>
      <c r="D250" s="35" t="s">
        <v>39</v>
      </c>
      <c r="E250" s="35" t="s">
        <v>25</v>
      </c>
      <c r="F250" s="35" t="s">
        <v>25</v>
      </c>
      <c r="G250" s="35" t="s">
        <v>25</v>
      </c>
      <c r="H250" s="35" t="s">
        <v>25</v>
      </c>
      <c r="I250" s="55">
        <v>44470</v>
      </c>
      <c r="J250" s="56">
        <f>EFEITO!$J$250*EFEITO!$Y$250</f>
        <v>0</v>
      </c>
      <c r="K250" s="56">
        <f ca="1">EFEITO!$L$250*EFEITO!$Z$250</f>
        <v>101252.12420359565</v>
      </c>
      <c r="L250" s="56">
        <f>EFEITO!$N$250*EFEITO!$AA$250</f>
        <v>29428.189889707664</v>
      </c>
      <c r="M250" s="56">
        <f>$J$250-EFEITO!$K$250*EFEITO!$Y$250</f>
        <v>0</v>
      </c>
      <c r="N250" s="56">
        <f ca="1">$K$250-EFEITO!$M$250*EFEITO!$Z$250</f>
        <v>0</v>
      </c>
      <c r="O250" s="56">
        <f>$L$250-EFEITO!$O$250*EFEITO!$AA$250</f>
        <v>0</v>
      </c>
      <c r="P250" s="39"/>
      <c r="Q250" s="39"/>
      <c r="R250" s="39"/>
      <c r="S250" s="39"/>
      <c r="T250" s="39"/>
      <c r="U250" s="39"/>
      <c r="V250" s="39"/>
      <c r="W250" s="39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35" t="s">
        <v>27</v>
      </c>
      <c r="B251" s="35" t="s">
        <v>33</v>
      </c>
      <c r="C251" s="35" t="s">
        <v>23</v>
      </c>
      <c r="D251" s="35" t="s">
        <v>39</v>
      </c>
      <c r="E251" s="35" t="s">
        <v>25</v>
      </c>
      <c r="F251" s="35" t="s">
        <v>25</v>
      </c>
      <c r="G251" s="35" t="s">
        <v>25</v>
      </c>
      <c r="H251" s="35" t="s">
        <v>25</v>
      </c>
      <c r="I251" s="55">
        <v>44470</v>
      </c>
      <c r="J251" s="56">
        <f>EFEITO!$J$251*EFEITO!$Y$251</f>
        <v>0</v>
      </c>
      <c r="K251" s="56">
        <f ca="1">EFEITO!$L$251*EFEITO!$Z$251</f>
        <v>-10.594273897156155</v>
      </c>
      <c r="L251" s="56">
        <f>EFEITO!$N$251*EFEITO!$AA$251</f>
        <v>-3.0791482790245794</v>
      </c>
      <c r="M251" s="56">
        <f>$J$251-EFEITO!$K$251*EFEITO!$Y$251</f>
        <v>0</v>
      </c>
      <c r="N251" s="56">
        <f ca="1">$K$251-EFEITO!$M$251*EFEITO!$Z$251</f>
        <v>0</v>
      </c>
      <c r="O251" s="56">
        <f>$L$251-EFEITO!$O$251*EFEITO!$AA$251</f>
        <v>0</v>
      </c>
      <c r="P251" s="39"/>
      <c r="Q251" s="39"/>
      <c r="R251" s="39"/>
      <c r="S251" s="39"/>
      <c r="T251" s="39"/>
      <c r="U251" s="39"/>
      <c r="V251" s="39"/>
      <c r="W251" s="39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35" t="s">
        <v>28</v>
      </c>
      <c r="B252" s="35" t="s">
        <v>33</v>
      </c>
      <c r="C252" s="35" t="s">
        <v>23</v>
      </c>
      <c r="D252" s="35" t="s">
        <v>39</v>
      </c>
      <c r="E252" s="35" t="s">
        <v>25</v>
      </c>
      <c r="F252" s="35" t="s">
        <v>25</v>
      </c>
      <c r="G252" s="35" t="s">
        <v>25</v>
      </c>
      <c r="H252" s="35" t="s">
        <v>25</v>
      </c>
      <c r="I252" s="55">
        <v>44470</v>
      </c>
      <c r="J252" s="56">
        <f>EFEITO!$J$252*EFEITO!$Y$252</f>
        <v>0</v>
      </c>
      <c r="K252" s="56">
        <f ca="1">EFEITO!$L$252*EFEITO!$Z$252</f>
        <v>5543.4538166869579</v>
      </c>
      <c r="L252" s="56">
        <f>EFEITO!$N$252*EFEITO!$AA$252</f>
        <v>1611.1643369996111</v>
      </c>
      <c r="M252" s="56">
        <f>$J$252-EFEITO!$K$252*EFEITO!$Y$252</f>
        <v>0</v>
      </c>
      <c r="N252" s="56">
        <f ca="1">$K$252-EFEITO!$M$252*EFEITO!$Z$252</f>
        <v>0</v>
      </c>
      <c r="O252" s="56">
        <f>$L$252-EFEITO!$O$252*EFEITO!$AA$252</f>
        <v>0</v>
      </c>
      <c r="P252" s="39"/>
      <c r="Q252" s="39"/>
      <c r="R252" s="39"/>
      <c r="S252" s="39"/>
      <c r="T252" s="39"/>
      <c r="U252" s="39"/>
      <c r="V252" s="39"/>
      <c r="W252" s="39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35" t="s">
        <v>21</v>
      </c>
      <c r="B253" s="35" t="s">
        <v>33</v>
      </c>
      <c r="C253" s="35" t="s">
        <v>23</v>
      </c>
      <c r="D253" s="35" t="s">
        <v>39</v>
      </c>
      <c r="E253" s="35" t="s">
        <v>25</v>
      </c>
      <c r="F253" s="35" t="s">
        <v>25</v>
      </c>
      <c r="G253" s="35" t="s">
        <v>25</v>
      </c>
      <c r="H253" s="35" t="s">
        <v>25</v>
      </c>
      <c r="I253" s="55">
        <v>44501</v>
      </c>
      <c r="J253" s="56">
        <f>EFEITO!$J$253*EFEITO!$Y$253</f>
        <v>0</v>
      </c>
      <c r="K253" s="56">
        <f ca="1">EFEITO!$L$253*EFEITO!$Z$253</f>
        <v>122559.32786555612</v>
      </c>
      <c r="L253" s="56">
        <f>EFEITO!$N$253*EFEITO!$AA$253</f>
        <v>35620.972908481897</v>
      </c>
      <c r="M253" s="56">
        <f>$J$253-EFEITO!$K$253*EFEITO!$Y$253</f>
        <v>0</v>
      </c>
      <c r="N253" s="56">
        <f ca="1">$K$253-EFEITO!$M$253*EFEITO!$Z$253</f>
        <v>0</v>
      </c>
      <c r="O253" s="56">
        <f>$L$253-EFEITO!$O$253*EFEITO!$AA$253</f>
        <v>0</v>
      </c>
      <c r="P253" s="39"/>
      <c r="Q253" s="39"/>
      <c r="R253" s="39"/>
      <c r="S253" s="39"/>
      <c r="T253" s="39"/>
      <c r="U253" s="39"/>
      <c r="V253" s="39"/>
      <c r="W253" s="39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35" t="s">
        <v>28</v>
      </c>
      <c r="B254" s="35" t="s">
        <v>33</v>
      </c>
      <c r="C254" s="35" t="s">
        <v>23</v>
      </c>
      <c r="D254" s="35" t="s">
        <v>39</v>
      </c>
      <c r="E254" s="35" t="s">
        <v>25</v>
      </c>
      <c r="F254" s="35" t="s">
        <v>25</v>
      </c>
      <c r="G254" s="35" t="s">
        <v>25</v>
      </c>
      <c r="H254" s="35" t="s">
        <v>25</v>
      </c>
      <c r="I254" s="55">
        <v>44501</v>
      </c>
      <c r="J254" s="56">
        <f>EFEITO!$J$254*EFEITO!$Y$254</f>
        <v>0</v>
      </c>
      <c r="K254" s="56">
        <f ca="1">EFEITO!$L$254*EFEITO!$Z$254</f>
        <v>4377.5539743049221</v>
      </c>
      <c r="L254" s="56">
        <f>EFEITO!$N$254*EFEITO!$AA$254</f>
        <v>1272.3040688929561</v>
      </c>
      <c r="M254" s="56">
        <f>$J$254-EFEITO!$K$254*EFEITO!$Y$254</f>
        <v>0</v>
      </c>
      <c r="N254" s="56">
        <f ca="1">$K$254-EFEITO!$M$254*EFEITO!$Z$254</f>
        <v>0</v>
      </c>
      <c r="O254" s="56">
        <f>$L$254-EFEITO!$O$254*EFEITO!$AA$254</f>
        <v>0</v>
      </c>
      <c r="P254" s="39"/>
      <c r="Q254" s="39"/>
      <c r="R254" s="39"/>
      <c r="S254" s="39"/>
      <c r="T254" s="39"/>
      <c r="U254" s="39"/>
      <c r="V254" s="39"/>
      <c r="W254" s="39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35" t="s">
        <v>21</v>
      </c>
      <c r="B255" s="35" t="s">
        <v>33</v>
      </c>
      <c r="C255" s="35" t="s">
        <v>23</v>
      </c>
      <c r="D255" s="35" t="s">
        <v>39</v>
      </c>
      <c r="E255" s="35" t="s">
        <v>25</v>
      </c>
      <c r="F255" s="35" t="s">
        <v>25</v>
      </c>
      <c r="G255" s="35" t="s">
        <v>25</v>
      </c>
      <c r="H255" s="35" t="s">
        <v>25</v>
      </c>
      <c r="I255" s="55">
        <v>44531</v>
      </c>
      <c r="J255" s="56">
        <f>EFEITO!$J$255*EFEITO!$Y$255</f>
        <v>0</v>
      </c>
      <c r="K255" s="56">
        <f ca="1">EFEITO!$L$255*EFEITO!$Z$255</f>
        <v>153781.18275417015</v>
      </c>
      <c r="L255" s="56">
        <f>EFEITO!$N$255*EFEITO!$AA$255</f>
        <v>44695.376844181286</v>
      </c>
      <c r="M255" s="56">
        <f>$J$255-EFEITO!$K$255*EFEITO!$Y$255</f>
        <v>0</v>
      </c>
      <c r="N255" s="56">
        <f ca="1">$K$255-EFEITO!$M$255*EFEITO!$Z$255</f>
        <v>0</v>
      </c>
      <c r="O255" s="56">
        <f>$L$255-EFEITO!$O$255*EFEITO!$AA$255</f>
        <v>0</v>
      </c>
      <c r="P255" s="39"/>
      <c r="Q255" s="39"/>
      <c r="R255" s="39"/>
      <c r="S255" s="39"/>
      <c r="T255" s="39"/>
      <c r="U255" s="39"/>
      <c r="V255" s="39"/>
      <c r="W255" s="39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35" t="s">
        <v>28</v>
      </c>
      <c r="B256" s="35" t="s">
        <v>33</v>
      </c>
      <c r="C256" s="35" t="s">
        <v>23</v>
      </c>
      <c r="D256" s="35" t="s">
        <v>39</v>
      </c>
      <c r="E256" s="35" t="s">
        <v>25</v>
      </c>
      <c r="F256" s="35" t="s">
        <v>25</v>
      </c>
      <c r="G256" s="35" t="s">
        <v>25</v>
      </c>
      <c r="H256" s="35" t="s">
        <v>25</v>
      </c>
      <c r="I256" s="55">
        <v>44531</v>
      </c>
      <c r="J256" s="56">
        <f>EFEITO!$J$256*EFEITO!$Y$256</f>
        <v>0</v>
      </c>
      <c r="K256" s="56">
        <f ca="1">EFEITO!$L$256*EFEITO!$Z$256</f>
        <v>4984.0761549171129</v>
      </c>
      <c r="L256" s="56">
        <f>EFEITO!$N$256*EFEITO!$AA$256</f>
        <v>1448.5853078671134</v>
      </c>
      <c r="M256" s="56">
        <f>$J$256-EFEITO!$K$256*EFEITO!$Y$256</f>
        <v>0</v>
      </c>
      <c r="N256" s="56">
        <f ca="1">$K$256-EFEITO!$M$256*EFEITO!$Z$256</f>
        <v>0</v>
      </c>
      <c r="O256" s="56">
        <f>$L$256-EFEITO!$O$256*EFEITO!$AA$256</f>
        <v>0</v>
      </c>
      <c r="P256" s="39"/>
      <c r="Q256" s="39"/>
      <c r="R256" s="39"/>
      <c r="S256" s="39"/>
      <c r="T256" s="39"/>
      <c r="U256" s="39"/>
      <c r="V256" s="39"/>
      <c r="W256" s="39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35" t="s">
        <v>21</v>
      </c>
      <c r="B257" s="35" t="s">
        <v>33</v>
      </c>
      <c r="C257" s="35" t="s">
        <v>23</v>
      </c>
      <c r="D257" s="35" t="s">
        <v>39</v>
      </c>
      <c r="E257" s="35" t="s">
        <v>25</v>
      </c>
      <c r="F257" s="35" t="s">
        <v>25</v>
      </c>
      <c r="G257" s="35" t="s">
        <v>25</v>
      </c>
      <c r="H257" s="35" t="s">
        <v>25</v>
      </c>
      <c r="I257" s="55">
        <v>44562</v>
      </c>
      <c r="J257" s="56">
        <f>EFEITO!$J$257*EFEITO!$Y$257</f>
        <v>0</v>
      </c>
      <c r="K257" s="56">
        <f ca="1">EFEITO!$L$257*EFEITO!$Z$257</f>
        <v>156158.00810299715</v>
      </c>
      <c r="L257" s="56">
        <f>EFEITO!$N$257*EFEITO!$AA$257</f>
        <v>45386.183760580454</v>
      </c>
      <c r="M257" s="56">
        <f>$J$257-EFEITO!$K$257*EFEITO!$Y$257</f>
        <v>0</v>
      </c>
      <c r="N257" s="56">
        <f ca="1">$K$257-EFEITO!$M$257*EFEITO!$Z$257</f>
        <v>0</v>
      </c>
      <c r="O257" s="56">
        <f>$L$257-EFEITO!$O$257*EFEITO!$AA$257</f>
        <v>0</v>
      </c>
      <c r="P257" s="39"/>
      <c r="Q257" s="39"/>
      <c r="R257" s="39"/>
      <c r="S257" s="39"/>
      <c r="T257" s="39"/>
      <c r="U257" s="39"/>
      <c r="V257" s="39"/>
      <c r="W257" s="39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35" t="s">
        <v>28</v>
      </c>
      <c r="B258" s="35" t="s">
        <v>33</v>
      </c>
      <c r="C258" s="35" t="s">
        <v>23</v>
      </c>
      <c r="D258" s="35" t="s">
        <v>39</v>
      </c>
      <c r="E258" s="35" t="s">
        <v>25</v>
      </c>
      <c r="F258" s="35" t="s">
        <v>25</v>
      </c>
      <c r="G258" s="35" t="s">
        <v>25</v>
      </c>
      <c r="H258" s="35" t="s">
        <v>25</v>
      </c>
      <c r="I258" s="55">
        <v>44562</v>
      </c>
      <c r="J258" s="56">
        <f>EFEITO!$J$258*EFEITO!$Y$258</f>
        <v>0</v>
      </c>
      <c r="K258" s="56">
        <f ca="1">EFEITO!$L$258*EFEITO!$Z$258</f>
        <v>4389.7373892866526</v>
      </c>
      <c r="L258" s="56">
        <f>EFEITO!$N$258*EFEITO!$AA$258</f>
        <v>1275.8450894138346</v>
      </c>
      <c r="M258" s="56">
        <f>$J$258-EFEITO!$K$258*EFEITO!$Y$258</f>
        <v>0</v>
      </c>
      <c r="N258" s="56">
        <f ca="1">$K$258-EFEITO!$M$258*EFEITO!$Z$258</f>
        <v>0</v>
      </c>
      <c r="O258" s="56">
        <f>$L$258-EFEITO!$O$258*EFEITO!$AA$258</f>
        <v>0</v>
      </c>
      <c r="P258" s="39"/>
      <c r="Q258" s="39"/>
      <c r="R258" s="39"/>
      <c r="S258" s="39"/>
      <c r="T258" s="39"/>
      <c r="U258" s="39"/>
      <c r="V258" s="39"/>
      <c r="W258" s="39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35" t="s">
        <v>21</v>
      </c>
      <c r="B259" s="35" t="s">
        <v>33</v>
      </c>
      <c r="C259" s="35" t="s">
        <v>23</v>
      </c>
      <c r="D259" s="35" t="s">
        <v>39</v>
      </c>
      <c r="E259" s="35" t="s">
        <v>25</v>
      </c>
      <c r="F259" s="35" t="s">
        <v>25</v>
      </c>
      <c r="G259" s="35" t="s">
        <v>25</v>
      </c>
      <c r="H259" s="35" t="s">
        <v>25</v>
      </c>
      <c r="I259" s="55">
        <v>44593</v>
      </c>
      <c r="J259" s="56">
        <f>EFEITO!$J$259*EFEITO!$Y$259</f>
        <v>0</v>
      </c>
      <c r="K259" s="56">
        <f ca="1">EFEITO!$L$259*EFEITO!$Z$259</f>
        <v>143614.38780876427</v>
      </c>
      <c r="L259" s="56">
        <f>EFEITO!$N$259*EFEITO!$AA$259</f>
        <v>41740.47219821535</v>
      </c>
      <c r="M259" s="56">
        <f>$J$259-EFEITO!$K$259*EFEITO!$Y$259</f>
        <v>0</v>
      </c>
      <c r="N259" s="56">
        <f ca="1">$K$259-EFEITO!$M$259*EFEITO!$Z$259</f>
        <v>0</v>
      </c>
      <c r="O259" s="56">
        <f>$L$259-EFEITO!$O$259*EFEITO!$AA$259</f>
        <v>0</v>
      </c>
      <c r="P259" s="39"/>
      <c r="Q259" s="39"/>
      <c r="R259" s="39"/>
      <c r="S259" s="39"/>
      <c r="T259" s="39"/>
      <c r="U259" s="39"/>
      <c r="V259" s="39"/>
      <c r="W259" s="39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35" t="s">
        <v>28</v>
      </c>
      <c r="B260" s="35" t="s">
        <v>33</v>
      </c>
      <c r="C260" s="35" t="s">
        <v>23</v>
      </c>
      <c r="D260" s="35" t="s">
        <v>39</v>
      </c>
      <c r="E260" s="35" t="s">
        <v>25</v>
      </c>
      <c r="F260" s="35" t="s">
        <v>25</v>
      </c>
      <c r="G260" s="35" t="s">
        <v>25</v>
      </c>
      <c r="H260" s="35" t="s">
        <v>25</v>
      </c>
      <c r="I260" s="55">
        <v>44593</v>
      </c>
      <c r="J260" s="56">
        <f>EFEITO!$J$260*EFEITO!$Y$260</f>
        <v>0</v>
      </c>
      <c r="K260" s="56">
        <f ca="1">EFEITO!$L$260*EFEITO!$Z$260</f>
        <v>4939.5802045490564</v>
      </c>
      <c r="L260" s="56">
        <f>EFEITO!$N$260*EFEITO!$AA$260</f>
        <v>1435.65288509521</v>
      </c>
      <c r="M260" s="56">
        <f>$J$260-EFEITO!$K$260*EFEITO!$Y$260</f>
        <v>0</v>
      </c>
      <c r="N260" s="56">
        <f ca="1">$K$260-EFEITO!$M$260*EFEITO!$Z$260</f>
        <v>0</v>
      </c>
      <c r="O260" s="56">
        <f>$L$260-EFEITO!$O$260*EFEITO!$AA$260</f>
        <v>0</v>
      </c>
      <c r="P260" s="39"/>
      <c r="Q260" s="39"/>
      <c r="R260" s="39"/>
      <c r="S260" s="39"/>
      <c r="T260" s="39"/>
      <c r="U260" s="39"/>
      <c r="V260" s="39"/>
      <c r="W260" s="39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35" t="s">
        <v>21</v>
      </c>
      <c r="B261" s="35" t="s">
        <v>33</v>
      </c>
      <c r="C261" s="35" t="s">
        <v>23</v>
      </c>
      <c r="D261" s="35" t="s">
        <v>39</v>
      </c>
      <c r="E261" s="35" t="s">
        <v>25</v>
      </c>
      <c r="F261" s="35" t="s">
        <v>25</v>
      </c>
      <c r="G261" s="35" t="s">
        <v>25</v>
      </c>
      <c r="H261" s="35" t="s">
        <v>25</v>
      </c>
      <c r="I261" s="55">
        <v>44621</v>
      </c>
      <c r="J261" s="56">
        <f>EFEITO!$J$261*EFEITO!$Y$261</f>
        <v>0</v>
      </c>
      <c r="K261" s="56">
        <f ca="1">EFEITO!$L$261*EFEITO!$Z$261</f>
        <v>143218.16196501063</v>
      </c>
      <c r="L261" s="56">
        <f>EFEITO!$N$261*EFEITO!$AA$261</f>
        <v>41625.312052579829</v>
      </c>
      <c r="M261" s="56">
        <f>$J$261-EFEITO!$K$261*EFEITO!$Y$261</f>
        <v>0</v>
      </c>
      <c r="N261" s="56">
        <f ca="1">$K$261-EFEITO!$M$261*EFEITO!$Z$261</f>
        <v>0</v>
      </c>
      <c r="O261" s="56">
        <f>$L$261-EFEITO!$O$261*EFEITO!$AA$261</f>
        <v>0</v>
      </c>
      <c r="P261" s="39"/>
      <c r="Q261" s="39"/>
      <c r="R261" s="39"/>
      <c r="S261" s="39"/>
      <c r="T261" s="39"/>
      <c r="U261" s="39"/>
      <c r="V261" s="39"/>
      <c r="W261" s="39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35" t="s">
        <v>28</v>
      </c>
      <c r="B262" s="35" t="s">
        <v>33</v>
      </c>
      <c r="C262" s="35" t="s">
        <v>23</v>
      </c>
      <c r="D262" s="35" t="s">
        <v>39</v>
      </c>
      <c r="E262" s="35" t="s">
        <v>25</v>
      </c>
      <c r="F262" s="35" t="s">
        <v>25</v>
      </c>
      <c r="G262" s="35" t="s">
        <v>25</v>
      </c>
      <c r="H262" s="35" t="s">
        <v>25</v>
      </c>
      <c r="I262" s="55">
        <v>44621</v>
      </c>
      <c r="J262" s="56">
        <f>EFEITO!$J$262*EFEITO!$Y$262</f>
        <v>0</v>
      </c>
      <c r="K262" s="56">
        <f ca="1">EFEITO!$L$262*EFEITO!$Z$262</f>
        <v>7111.406353466069</v>
      </c>
      <c r="L262" s="56">
        <f>EFEITO!$N$262*EFEITO!$AA$262</f>
        <v>2066.8782822952489</v>
      </c>
      <c r="M262" s="56">
        <f>$J$262-EFEITO!$K$262*EFEITO!$Y$262</f>
        <v>0</v>
      </c>
      <c r="N262" s="56">
        <f ca="1">$K$262-EFEITO!$M$262*EFEITO!$Z$262</f>
        <v>0</v>
      </c>
      <c r="O262" s="56">
        <f>$L$262-EFEITO!$O$262*EFEITO!$AA$262</f>
        <v>0</v>
      </c>
      <c r="P262" s="39"/>
      <c r="Q262" s="39"/>
      <c r="R262" s="39"/>
      <c r="S262" s="39"/>
      <c r="T262" s="39"/>
      <c r="U262" s="39"/>
      <c r="V262" s="39"/>
      <c r="W262" s="39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35" t="s">
        <v>21</v>
      </c>
      <c r="B263" s="35" t="s">
        <v>33</v>
      </c>
      <c r="C263" s="35" t="s">
        <v>23</v>
      </c>
      <c r="D263" s="35" t="s">
        <v>39</v>
      </c>
      <c r="E263" s="35" t="s">
        <v>25</v>
      </c>
      <c r="F263" s="35" t="s">
        <v>25</v>
      </c>
      <c r="G263" s="35" t="s">
        <v>25</v>
      </c>
      <c r="H263" s="35" t="s">
        <v>25</v>
      </c>
      <c r="I263" s="55">
        <v>44652</v>
      </c>
      <c r="J263" s="56">
        <f>EFEITO!$J$263*EFEITO!$Y$263</f>
        <v>0</v>
      </c>
      <c r="K263" s="56">
        <f ca="1">EFEITO!$L$263*EFEITO!$Z$263</f>
        <v>128916.42191754466</v>
      </c>
      <c r="L263" s="56">
        <f>EFEITO!$N$263*EFEITO!$AA$263</f>
        <v>37468.615833310592</v>
      </c>
      <c r="M263" s="56">
        <f>$J$263-EFEITO!$K$263*EFEITO!$Y$263</f>
        <v>0</v>
      </c>
      <c r="N263" s="56">
        <f ca="1">$K$263-EFEITO!$M$263*EFEITO!$Z$263</f>
        <v>0</v>
      </c>
      <c r="O263" s="56">
        <f>$L$263-EFEITO!$O$263*EFEITO!$AA$263</f>
        <v>0</v>
      </c>
      <c r="P263" s="39"/>
      <c r="Q263" s="39"/>
      <c r="R263" s="39"/>
      <c r="S263" s="39"/>
      <c r="T263" s="39"/>
      <c r="U263" s="39"/>
      <c r="V263" s="39"/>
      <c r="W263" s="39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35" t="s">
        <v>28</v>
      </c>
      <c r="B264" s="35" t="s">
        <v>33</v>
      </c>
      <c r="C264" s="35" t="s">
        <v>23</v>
      </c>
      <c r="D264" s="35" t="s">
        <v>39</v>
      </c>
      <c r="E264" s="35" t="s">
        <v>25</v>
      </c>
      <c r="F264" s="35" t="s">
        <v>25</v>
      </c>
      <c r="G264" s="35" t="s">
        <v>25</v>
      </c>
      <c r="H264" s="35" t="s">
        <v>25</v>
      </c>
      <c r="I264" s="55">
        <v>44652</v>
      </c>
      <c r="J264" s="56">
        <f>EFEITO!$J$264*EFEITO!$Y$264</f>
        <v>0</v>
      </c>
      <c r="K264" s="56">
        <f ca="1">EFEITO!$L$264*EFEITO!$Z$264</f>
        <v>4310.2803350579816</v>
      </c>
      <c r="L264" s="56">
        <f>EFEITO!$N$264*EFEITO!$AA$264</f>
        <v>1252.7514773211501</v>
      </c>
      <c r="M264" s="56">
        <f>$J$264-EFEITO!$K$264*EFEITO!$Y$264</f>
        <v>0</v>
      </c>
      <c r="N264" s="56">
        <f ca="1">$K$264-EFEITO!$M$264*EFEITO!$Z$264</f>
        <v>0</v>
      </c>
      <c r="O264" s="56">
        <f>$L$264-EFEITO!$O$264*EFEITO!$AA$264</f>
        <v>0</v>
      </c>
      <c r="P264" s="39"/>
      <c r="Q264" s="39"/>
      <c r="R264" s="39"/>
      <c r="S264" s="39"/>
      <c r="T264" s="39"/>
      <c r="U264" s="39"/>
      <c r="V264" s="39"/>
      <c r="W264" s="39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35" t="s">
        <v>21</v>
      </c>
      <c r="B265" s="35" t="s">
        <v>33</v>
      </c>
      <c r="C265" s="35" t="s">
        <v>23</v>
      </c>
      <c r="D265" s="35" t="s">
        <v>39</v>
      </c>
      <c r="E265" s="35" t="s">
        <v>25</v>
      </c>
      <c r="F265" s="35" t="s">
        <v>25</v>
      </c>
      <c r="G265" s="35" t="s">
        <v>25</v>
      </c>
      <c r="H265" s="35" t="s">
        <v>25</v>
      </c>
      <c r="I265" s="55">
        <v>44682</v>
      </c>
      <c r="J265" s="56">
        <f>EFEITO!$J$265*EFEITO!$Y$265</f>
        <v>0</v>
      </c>
      <c r="K265" s="56">
        <f ca="1">EFEITO!$L$265*EFEITO!$Z$265</f>
        <v>117635.6390718528</v>
      </c>
      <c r="L265" s="56">
        <f>EFEITO!$N$265*EFEITO!$AA$265</f>
        <v>34189.938745805222</v>
      </c>
      <c r="M265" s="56">
        <f>$J$265-EFEITO!$K$265*EFEITO!$Y$265</f>
        <v>0</v>
      </c>
      <c r="N265" s="56">
        <f ca="1">$K$265-EFEITO!$M$265*EFEITO!$Z$265</f>
        <v>0</v>
      </c>
      <c r="O265" s="56">
        <f>$L$265-EFEITO!$O$265*EFEITO!$AA$265</f>
        <v>0</v>
      </c>
      <c r="P265" s="39"/>
      <c r="Q265" s="39"/>
      <c r="R265" s="39"/>
      <c r="S265" s="39"/>
      <c r="T265" s="39"/>
      <c r="U265" s="39"/>
      <c r="V265" s="39"/>
      <c r="W265" s="39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35" t="s">
        <v>28</v>
      </c>
      <c r="B266" s="35" t="s">
        <v>33</v>
      </c>
      <c r="C266" s="35" t="s">
        <v>23</v>
      </c>
      <c r="D266" s="35" t="s">
        <v>39</v>
      </c>
      <c r="E266" s="35" t="s">
        <v>25</v>
      </c>
      <c r="F266" s="35" t="s">
        <v>25</v>
      </c>
      <c r="G266" s="35" t="s">
        <v>25</v>
      </c>
      <c r="H266" s="35" t="s">
        <v>25</v>
      </c>
      <c r="I266" s="55">
        <v>44682</v>
      </c>
      <c r="J266" s="56">
        <f>EFEITO!$J$266*EFEITO!$Y$266</f>
        <v>0</v>
      </c>
      <c r="K266" s="56">
        <f ca="1">EFEITO!$L$266*EFEITO!$Z$266</f>
        <v>5586.3606259704393</v>
      </c>
      <c r="L266" s="56">
        <f>EFEITO!$N$266*EFEITO!$AA$266</f>
        <v>1623.6348875296605</v>
      </c>
      <c r="M266" s="56">
        <f>$J$266-EFEITO!$K$266*EFEITO!$Y$266</f>
        <v>0</v>
      </c>
      <c r="N266" s="56">
        <f ca="1">$K$266-EFEITO!$M$266*EFEITO!$Z$266</f>
        <v>0</v>
      </c>
      <c r="O266" s="56">
        <f>$L$266-EFEITO!$O$266*EFEITO!$AA$266</f>
        <v>0</v>
      </c>
      <c r="P266" s="39"/>
      <c r="Q266" s="39"/>
      <c r="R266" s="39"/>
      <c r="S266" s="39"/>
      <c r="T266" s="39"/>
      <c r="U266" s="39"/>
      <c r="V266" s="39"/>
      <c r="W266" s="39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35" t="s">
        <v>21</v>
      </c>
      <c r="B267" s="35" t="s">
        <v>33</v>
      </c>
      <c r="C267" s="35" t="s">
        <v>23</v>
      </c>
      <c r="D267" s="35" t="s">
        <v>39</v>
      </c>
      <c r="E267" s="35" t="s">
        <v>25</v>
      </c>
      <c r="F267" s="35" t="s">
        <v>25</v>
      </c>
      <c r="G267" s="35" t="s">
        <v>25</v>
      </c>
      <c r="H267" s="35" t="s">
        <v>25</v>
      </c>
      <c r="I267" s="55">
        <v>44713</v>
      </c>
      <c r="J267" s="56">
        <f>EFEITO!$J$267*EFEITO!$Y$267</f>
        <v>0</v>
      </c>
      <c r="K267" s="56">
        <f ca="1">EFEITO!$L$267*EFEITO!$Z$267</f>
        <v>115452.68893534376</v>
      </c>
      <c r="L267" s="56">
        <f>EFEITO!$N$267*EFEITO!$AA$267</f>
        <v>33555.480242912206</v>
      </c>
      <c r="M267" s="56">
        <f>$J$267-EFEITO!$K$267*EFEITO!$Y$267</f>
        <v>0</v>
      </c>
      <c r="N267" s="56">
        <f ca="1">$K$267-EFEITO!$M$267*EFEITO!$Z$267</f>
        <v>0</v>
      </c>
      <c r="O267" s="56">
        <f>$L$267-EFEITO!$O$267*EFEITO!$AA$267</f>
        <v>0</v>
      </c>
      <c r="P267" s="39"/>
      <c r="Q267" s="39"/>
      <c r="R267" s="39"/>
      <c r="S267" s="39"/>
      <c r="T267" s="39"/>
      <c r="U267" s="39"/>
      <c r="V267" s="39"/>
      <c r="W267" s="39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35" t="s">
        <v>28</v>
      </c>
      <c r="B268" s="35" t="s">
        <v>33</v>
      </c>
      <c r="C268" s="35" t="s">
        <v>23</v>
      </c>
      <c r="D268" s="35" t="s">
        <v>39</v>
      </c>
      <c r="E268" s="35" t="s">
        <v>25</v>
      </c>
      <c r="F268" s="35" t="s">
        <v>25</v>
      </c>
      <c r="G268" s="35" t="s">
        <v>25</v>
      </c>
      <c r="H268" s="35" t="s">
        <v>25</v>
      </c>
      <c r="I268" s="55">
        <v>44713</v>
      </c>
      <c r="J268" s="56">
        <f>EFEITO!$J$268*EFEITO!$Y$268</f>
        <v>0</v>
      </c>
      <c r="K268" s="56">
        <f ca="1">EFEITO!$L$268*EFEITO!$Z$268</f>
        <v>8697.8988695652024</v>
      </c>
      <c r="L268" s="56">
        <f>EFEITO!$N$268*EFEITO!$AA$268</f>
        <v>2527.98073707918</v>
      </c>
      <c r="M268" s="56">
        <f>$J$268-EFEITO!$K$268*EFEITO!$Y$268</f>
        <v>0</v>
      </c>
      <c r="N268" s="56">
        <f ca="1">$K$268-EFEITO!$M$268*EFEITO!$Z$268</f>
        <v>0</v>
      </c>
      <c r="O268" s="56">
        <f>$L$268-EFEITO!$O$268*EFEITO!$AA$268</f>
        <v>0</v>
      </c>
      <c r="P268" s="39"/>
      <c r="Q268" s="39"/>
      <c r="R268" s="39"/>
      <c r="S268" s="39"/>
      <c r="T268" s="39"/>
      <c r="U268" s="39"/>
      <c r="V268" s="39"/>
      <c r="W268" s="39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35" t="s">
        <v>21</v>
      </c>
      <c r="B269" s="35" t="s">
        <v>33</v>
      </c>
      <c r="C269" s="35" t="s">
        <v>23</v>
      </c>
      <c r="D269" s="35" t="s">
        <v>39</v>
      </c>
      <c r="E269" s="35" t="s">
        <v>25</v>
      </c>
      <c r="F269" s="35" t="s">
        <v>25</v>
      </c>
      <c r="G269" s="35" t="s">
        <v>25</v>
      </c>
      <c r="H269" s="35" t="s">
        <v>25</v>
      </c>
      <c r="I269" s="55">
        <v>44743</v>
      </c>
      <c r="J269" s="56">
        <f>EFEITO!$J$269*EFEITO!$Y$269</f>
        <v>0</v>
      </c>
      <c r="K269" s="56">
        <f ca="1">EFEITO!$L$269*EFEITO!$Z$269</f>
        <v>110880.20032133117</v>
      </c>
      <c r="L269" s="56">
        <f>EFEITO!$N$269*EFEITO!$AA$269</f>
        <v>32226.519845685198</v>
      </c>
      <c r="M269" s="56">
        <f>$J$269-EFEITO!$K$269*EFEITO!$Y$269</f>
        <v>0</v>
      </c>
      <c r="N269" s="56">
        <f ca="1">$K$269-EFEITO!$M$269*EFEITO!$Z$269</f>
        <v>0</v>
      </c>
      <c r="O269" s="56">
        <f>$L$269-EFEITO!$O$269*EFEITO!$AA$269</f>
        <v>0</v>
      </c>
      <c r="P269" s="39"/>
      <c r="Q269" s="39"/>
      <c r="R269" s="39"/>
      <c r="S269" s="39"/>
      <c r="T269" s="39"/>
      <c r="U269" s="39"/>
      <c r="V269" s="39"/>
      <c r="W269" s="39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35" t="s">
        <v>28</v>
      </c>
      <c r="B270" s="35" t="s">
        <v>33</v>
      </c>
      <c r="C270" s="35" t="s">
        <v>23</v>
      </c>
      <c r="D270" s="35" t="s">
        <v>39</v>
      </c>
      <c r="E270" s="35" t="s">
        <v>25</v>
      </c>
      <c r="F270" s="35" t="s">
        <v>25</v>
      </c>
      <c r="G270" s="35" t="s">
        <v>25</v>
      </c>
      <c r="H270" s="35" t="s">
        <v>25</v>
      </c>
      <c r="I270" s="55">
        <v>44743</v>
      </c>
      <c r="J270" s="56">
        <f>EFEITO!$J$270*EFEITO!$Y$270</f>
        <v>0</v>
      </c>
      <c r="K270" s="56">
        <f ca="1">EFEITO!$L$270*EFEITO!$Z$270</f>
        <v>6759.6764600804836</v>
      </c>
      <c r="L270" s="56">
        <f>EFEITO!$N$270*EFEITO!$AA$270</f>
        <v>1964.6505594316327</v>
      </c>
      <c r="M270" s="56">
        <f>$J$270-EFEITO!$K$270*EFEITO!$Y$270</f>
        <v>0</v>
      </c>
      <c r="N270" s="56">
        <f ca="1">$K$270-EFEITO!$M$270*EFEITO!$Z$270</f>
        <v>0</v>
      </c>
      <c r="O270" s="56">
        <f>$L$270-EFEITO!$O$270*EFEITO!$AA$270</f>
        <v>0</v>
      </c>
      <c r="P270" s="39"/>
      <c r="Q270" s="39"/>
      <c r="R270" s="39"/>
      <c r="S270" s="39"/>
      <c r="T270" s="39"/>
      <c r="U270" s="39"/>
      <c r="V270" s="39"/>
      <c r="W270" s="39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35" t="s">
        <v>21</v>
      </c>
      <c r="B271" s="35" t="s">
        <v>33</v>
      </c>
      <c r="C271" s="35" t="s">
        <v>23</v>
      </c>
      <c r="D271" s="35" t="s">
        <v>39</v>
      </c>
      <c r="E271" s="35" t="s">
        <v>25</v>
      </c>
      <c r="F271" s="35" t="s">
        <v>25</v>
      </c>
      <c r="G271" s="35" t="s">
        <v>25</v>
      </c>
      <c r="H271" s="35" t="s">
        <v>25</v>
      </c>
      <c r="I271" s="55">
        <v>44774</v>
      </c>
      <c r="J271" s="56">
        <f>EFEITO!$J$271*EFEITO!$Y$271</f>
        <v>0</v>
      </c>
      <c r="K271" s="56">
        <f ca="1">EFEITO!$L$271*EFEITO!$Z$271</f>
        <v>111930.09286453934</v>
      </c>
      <c r="L271" s="56">
        <f>EFEITO!$N$271*EFEITO!$AA$271</f>
        <v>32531.663440136534</v>
      </c>
      <c r="M271" s="56">
        <f>$J$271-EFEITO!$K$271*EFEITO!$Y$271</f>
        <v>0</v>
      </c>
      <c r="N271" s="56">
        <f ca="1">$K$271-EFEITO!$M$271*EFEITO!$Z$271</f>
        <v>0</v>
      </c>
      <c r="O271" s="56">
        <f>$L$271-EFEITO!$O$271*EFEITO!$AA$271</f>
        <v>0</v>
      </c>
      <c r="P271" s="39"/>
      <c r="Q271" s="39"/>
      <c r="R271" s="39"/>
      <c r="S271" s="39"/>
      <c r="T271" s="39"/>
      <c r="U271" s="39"/>
      <c r="V271" s="39"/>
      <c r="W271" s="39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35" t="s">
        <v>28</v>
      </c>
      <c r="B272" s="35" t="s">
        <v>33</v>
      </c>
      <c r="C272" s="35" t="s">
        <v>23</v>
      </c>
      <c r="D272" s="35" t="s">
        <v>39</v>
      </c>
      <c r="E272" s="35" t="s">
        <v>25</v>
      </c>
      <c r="F272" s="35" t="s">
        <v>25</v>
      </c>
      <c r="G272" s="35" t="s">
        <v>25</v>
      </c>
      <c r="H272" s="35" t="s">
        <v>25</v>
      </c>
      <c r="I272" s="55">
        <v>44774</v>
      </c>
      <c r="J272" s="56">
        <f>EFEITO!$J$272*EFEITO!$Y$272</f>
        <v>0</v>
      </c>
      <c r="K272" s="56">
        <f ca="1">EFEITO!$L$272*EFEITO!$Z$272</f>
        <v>6416.9516995074828</v>
      </c>
      <c r="L272" s="56">
        <f>EFEITO!$N$272*EFEITO!$AA$272</f>
        <v>1865.0401126051879</v>
      </c>
      <c r="M272" s="56">
        <f>$J$272-EFEITO!$K$272*EFEITO!$Y$272</f>
        <v>0</v>
      </c>
      <c r="N272" s="56">
        <f ca="1">$K$272-EFEITO!$M$272*EFEITO!$Z$272</f>
        <v>0</v>
      </c>
      <c r="O272" s="56">
        <f>$L$272-EFEITO!$O$272*EFEITO!$AA$272</f>
        <v>0</v>
      </c>
      <c r="P272" s="39"/>
      <c r="Q272" s="39"/>
      <c r="R272" s="39"/>
      <c r="S272" s="39"/>
      <c r="T272" s="39"/>
      <c r="U272" s="39"/>
      <c r="V272" s="39"/>
      <c r="W272" s="39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35" t="s">
        <v>21</v>
      </c>
      <c r="B273" s="35" t="s">
        <v>33</v>
      </c>
      <c r="C273" s="35" t="s">
        <v>23</v>
      </c>
      <c r="D273" s="35" t="s">
        <v>49</v>
      </c>
      <c r="E273" s="35" t="s">
        <v>25</v>
      </c>
      <c r="F273" s="35" t="s">
        <v>25</v>
      </c>
      <c r="G273" s="35" t="s">
        <v>25</v>
      </c>
      <c r="H273" s="35" t="s">
        <v>25</v>
      </c>
      <c r="I273" s="55">
        <v>44440</v>
      </c>
      <c r="J273" s="56">
        <f>EFEITO!$J$273*EFEITO!$Y$273</f>
        <v>0</v>
      </c>
      <c r="K273" s="56">
        <f ca="1">EFEITO!$L$273*EFEITO!$Z$273</f>
        <v>1064.7245266641933</v>
      </c>
      <c r="L273" s="56">
        <f>EFEITO!$N$273*EFEITO!$AA$273</f>
        <v>309.45440204197018</v>
      </c>
      <c r="M273" s="56">
        <f>$J$273-EFEITO!$K$273*EFEITO!$Y$273</f>
        <v>0</v>
      </c>
      <c r="N273" s="56">
        <f ca="1">$K$273-EFEITO!$M$273*EFEITO!$Z$273</f>
        <v>0</v>
      </c>
      <c r="O273" s="56">
        <f>$L$273-EFEITO!$O$273*EFEITO!$AA$273</f>
        <v>0</v>
      </c>
      <c r="P273" s="39"/>
      <c r="Q273" s="39"/>
      <c r="R273" s="39"/>
      <c r="S273" s="39"/>
      <c r="T273" s="39"/>
      <c r="U273" s="39"/>
      <c r="V273" s="39"/>
      <c r="W273" s="39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35" t="s">
        <v>21</v>
      </c>
      <c r="B274" s="35" t="s">
        <v>33</v>
      </c>
      <c r="C274" s="35" t="s">
        <v>23</v>
      </c>
      <c r="D274" s="35" t="s">
        <v>49</v>
      </c>
      <c r="E274" s="35" t="s">
        <v>25</v>
      </c>
      <c r="F274" s="35" t="s">
        <v>25</v>
      </c>
      <c r="G274" s="35" t="s">
        <v>25</v>
      </c>
      <c r="H274" s="35" t="s">
        <v>25</v>
      </c>
      <c r="I274" s="55">
        <v>44470</v>
      </c>
      <c r="J274" s="56">
        <f>EFEITO!$J$274*EFEITO!$Y$274</f>
        <v>0</v>
      </c>
      <c r="K274" s="56">
        <f ca="1">EFEITO!$L$274*EFEITO!$Z$274</f>
        <v>930.17724817031035</v>
      </c>
      <c r="L274" s="56">
        <f>EFEITO!$N$274*EFEITO!$AA$274</f>
        <v>270.34921889835806</v>
      </c>
      <c r="M274" s="56">
        <f>$J$274-EFEITO!$K$274*EFEITO!$Y$274</f>
        <v>0</v>
      </c>
      <c r="N274" s="56">
        <f ca="1">$K$274-EFEITO!$M$274*EFEITO!$Z$274</f>
        <v>0</v>
      </c>
      <c r="O274" s="56">
        <f>$L$274-EFEITO!$O$274*EFEITO!$AA$274</f>
        <v>0</v>
      </c>
      <c r="P274" s="39"/>
      <c r="Q274" s="39"/>
      <c r="R274" s="39"/>
      <c r="S274" s="39"/>
      <c r="T274" s="39"/>
      <c r="U274" s="39"/>
      <c r="V274" s="39"/>
      <c r="W274" s="39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35" t="s">
        <v>21</v>
      </c>
      <c r="B275" s="35" t="s">
        <v>33</v>
      </c>
      <c r="C275" s="35" t="s">
        <v>23</v>
      </c>
      <c r="D275" s="35" t="s">
        <v>49</v>
      </c>
      <c r="E275" s="35" t="s">
        <v>25</v>
      </c>
      <c r="F275" s="35" t="s">
        <v>25</v>
      </c>
      <c r="G275" s="35" t="s">
        <v>25</v>
      </c>
      <c r="H275" s="35" t="s">
        <v>25</v>
      </c>
      <c r="I275" s="55">
        <v>44501</v>
      </c>
      <c r="J275" s="56">
        <f>EFEITO!$J$275*EFEITO!$Y$275</f>
        <v>0</v>
      </c>
      <c r="K275" s="56">
        <f ca="1">EFEITO!$L$275*EFEITO!$Z$275</f>
        <v>1252.7728883387153</v>
      </c>
      <c r="L275" s="56">
        <f>EFEITO!$N$275*EFEITO!$AA$275</f>
        <v>364.10928399465655</v>
      </c>
      <c r="M275" s="56">
        <f>$J$275-EFEITO!$K$275*EFEITO!$Y$275</f>
        <v>0</v>
      </c>
      <c r="N275" s="56">
        <f ca="1">$K$275-EFEITO!$M$275*EFEITO!$Z$275</f>
        <v>0</v>
      </c>
      <c r="O275" s="56">
        <f>$L$275-EFEITO!$O$275*EFEITO!$AA$275</f>
        <v>0</v>
      </c>
      <c r="P275" s="39"/>
      <c r="Q275" s="39"/>
      <c r="R275" s="39"/>
      <c r="S275" s="39"/>
      <c r="T275" s="39"/>
      <c r="U275" s="39"/>
      <c r="V275" s="39"/>
      <c r="W275" s="39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35" t="s">
        <v>21</v>
      </c>
      <c r="B276" s="35" t="s">
        <v>33</v>
      </c>
      <c r="C276" s="35" t="s">
        <v>23</v>
      </c>
      <c r="D276" s="35" t="s">
        <v>49</v>
      </c>
      <c r="E276" s="35" t="s">
        <v>25</v>
      </c>
      <c r="F276" s="35" t="s">
        <v>25</v>
      </c>
      <c r="G276" s="35" t="s">
        <v>25</v>
      </c>
      <c r="H276" s="35" t="s">
        <v>25</v>
      </c>
      <c r="I276" s="55">
        <v>44531</v>
      </c>
      <c r="J276" s="56">
        <f>EFEITO!$J$276*EFEITO!$Y$276</f>
        <v>0</v>
      </c>
      <c r="K276" s="56">
        <f ca="1">EFEITO!$L$276*EFEITO!$Z$276</f>
        <v>1736.9312054387515</v>
      </c>
      <c r="L276" s="56">
        <f>EFEITO!$N$276*EFEITO!$AA$276</f>
        <v>504.82636034607981</v>
      </c>
      <c r="M276" s="56">
        <f>$J$276-EFEITO!$K$276*EFEITO!$Y$276</f>
        <v>0</v>
      </c>
      <c r="N276" s="56">
        <f ca="1">$K$276-EFEITO!$M$276*EFEITO!$Z$276</f>
        <v>0</v>
      </c>
      <c r="O276" s="56">
        <f>$L$276-EFEITO!$O$276*EFEITO!$AA$276</f>
        <v>0</v>
      </c>
      <c r="P276" s="39"/>
      <c r="Q276" s="39"/>
      <c r="R276" s="39"/>
      <c r="S276" s="39"/>
      <c r="T276" s="39"/>
      <c r="U276" s="39"/>
      <c r="V276" s="39"/>
      <c r="W276" s="39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35" t="s">
        <v>21</v>
      </c>
      <c r="B277" s="35" t="s">
        <v>33</v>
      </c>
      <c r="C277" s="35" t="s">
        <v>23</v>
      </c>
      <c r="D277" s="35" t="s">
        <v>49</v>
      </c>
      <c r="E277" s="35" t="s">
        <v>25</v>
      </c>
      <c r="F277" s="35" t="s">
        <v>25</v>
      </c>
      <c r="G277" s="35" t="s">
        <v>25</v>
      </c>
      <c r="H277" s="35" t="s">
        <v>25</v>
      </c>
      <c r="I277" s="55">
        <v>44562</v>
      </c>
      <c r="J277" s="56">
        <f>EFEITO!$J$277*EFEITO!$Y$277</f>
        <v>0</v>
      </c>
      <c r="K277" s="56">
        <f ca="1">EFEITO!$L$277*EFEITO!$Z$277</f>
        <v>1916.5041479955482</v>
      </c>
      <c r="L277" s="56">
        <f>EFEITO!$N$277*EFEITO!$AA$277</f>
        <v>557.0179236755464</v>
      </c>
      <c r="M277" s="56">
        <f>$J$277-EFEITO!$K$277*EFEITO!$Y$277</f>
        <v>0</v>
      </c>
      <c r="N277" s="56">
        <f ca="1">$K$277-EFEITO!$M$277*EFEITO!$Z$277</f>
        <v>0</v>
      </c>
      <c r="O277" s="56">
        <f>$L$277-EFEITO!$O$277*EFEITO!$AA$277</f>
        <v>0</v>
      </c>
      <c r="P277" s="39"/>
      <c r="Q277" s="39"/>
      <c r="R277" s="39"/>
      <c r="S277" s="39"/>
      <c r="T277" s="39"/>
      <c r="U277" s="39"/>
      <c r="V277" s="39"/>
      <c r="W277" s="39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35" t="s">
        <v>21</v>
      </c>
      <c r="B278" s="35" t="s">
        <v>33</v>
      </c>
      <c r="C278" s="35" t="s">
        <v>23</v>
      </c>
      <c r="D278" s="35" t="s">
        <v>49</v>
      </c>
      <c r="E278" s="35" t="s">
        <v>25</v>
      </c>
      <c r="F278" s="35" t="s">
        <v>25</v>
      </c>
      <c r="G278" s="35" t="s">
        <v>25</v>
      </c>
      <c r="H278" s="35" t="s">
        <v>25</v>
      </c>
      <c r="I278" s="55">
        <v>44593</v>
      </c>
      <c r="J278" s="56">
        <f>EFEITO!$J$278*EFEITO!$Y$278</f>
        <v>0</v>
      </c>
      <c r="K278" s="56">
        <f ca="1">EFEITO!$L$278*EFEITO!$Z$278</f>
        <v>1902.7315919292453</v>
      </c>
      <c r="L278" s="56">
        <f>EFEITO!$N$278*EFEITO!$AA$278</f>
        <v>553.0150309128145</v>
      </c>
      <c r="M278" s="56">
        <f>$J$278-EFEITO!$K$278*EFEITO!$Y$278</f>
        <v>0</v>
      </c>
      <c r="N278" s="56">
        <f ca="1">$K$278-EFEITO!$M$278*EFEITO!$Z$278</f>
        <v>0</v>
      </c>
      <c r="O278" s="56">
        <f>$L$278-EFEITO!$O$278*EFEITO!$AA$278</f>
        <v>0</v>
      </c>
      <c r="P278" s="39"/>
      <c r="Q278" s="39"/>
      <c r="R278" s="39"/>
      <c r="S278" s="39"/>
      <c r="T278" s="39"/>
      <c r="U278" s="39"/>
      <c r="V278" s="39"/>
      <c r="W278" s="39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35" t="s">
        <v>21</v>
      </c>
      <c r="B279" s="35" t="s">
        <v>33</v>
      </c>
      <c r="C279" s="35" t="s">
        <v>23</v>
      </c>
      <c r="D279" s="35" t="s">
        <v>49</v>
      </c>
      <c r="E279" s="35" t="s">
        <v>25</v>
      </c>
      <c r="F279" s="35" t="s">
        <v>25</v>
      </c>
      <c r="G279" s="35" t="s">
        <v>25</v>
      </c>
      <c r="H279" s="35" t="s">
        <v>25</v>
      </c>
      <c r="I279" s="55">
        <v>44621</v>
      </c>
      <c r="J279" s="56">
        <f>EFEITO!$J$279*EFEITO!$Y$279</f>
        <v>0</v>
      </c>
      <c r="K279" s="56">
        <f ca="1">EFEITO!$L$279*EFEITO!$Z$279</f>
        <v>1594.438221522001</v>
      </c>
      <c r="L279" s="56">
        <f>EFEITO!$N$279*EFEITO!$AA$279</f>
        <v>463.41181599319918</v>
      </c>
      <c r="M279" s="56">
        <f>$J$279-EFEITO!$K$279*EFEITO!$Y$279</f>
        <v>0</v>
      </c>
      <c r="N279" s="56">
        <f ca="1">$K$279-EFEITO!$M$279*EFEITO!$Z$279</f>
        <v>0</v>
      </c>
      <c r="O279" s="56">
        <f>$L$279-EFEITO!$O$279*EFEITO!$AA$279</f>
        <v>0</v>
      </c>
      <c r="P279" s="39"/>
      <c r="Q279" s="39"/>
      <c r="R279" s="39"/>
      <c r="S279" s="39"/>
      <c r="T279" s="39"/>
      <c r="U279" s="39"/>
      <c r="V279" s="39"/>
      <c r="W279" s="39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35" t="s">
        <v>21</v>
      </c>
      <c r="B280" s="35" t="s">
        <v>33</v>
      </c>
      <c r="C280" s="35" t="s">
        <v>23</v>
      </c>
      <c r="D280" s="35" t="s">
        <v>49</v>
      </c>
      <c r="E280" s="35" t="s">
        <v>25</v>
      </c>
      <c r="F280" s="35" t="s">
        <v>25</v>
      </c>
      <c r="G280" s="35" t="s">
        <v>25</v>
      </c>
      <c r="H280" s="35" t="s">
        <v>25</v>
      </c>
      <c r="I280" s="55">
        <v>44652</v>
      </c>
      <c r="J280" s="56">
        <f>EFEITO!$J$280*EFEITO!$Y$280</f>
        <v>0</v>
      </c>
      <c r="K280" s="56">
        <f ca="1">EFEITO!$L$280*EFEITO!$Z$280</f>
        <v>1260.1888800667246</v>
      </c>
      <c r="L280" s="56">
        <f>EFEITO!$N$280*EFEITO!$AA$280</f>
        <v>366.26468778997372</v>
      </c>
      <c r="M280" s="56">
        <f>$J$280-EFEITO!$K$280*EFEITO!$Y$280</f>
        <v>0</v>
      </c>
      <c r="N280" s="56">
        <f ca="1">$K$280-EFEITO!$M$280*EFEITO!$Z$280</f>
        <v>0</v>
      </c>
      <c r="O280" s="56">
        <f>$L$280-EFEITO!$O$280*EFEITO!$AA$280</f>
        <v>0</v>
      </c>
      <c r="P280" s="39"/>
      <c r="Q280" s="39"/>
      <c r="R280" s="39"/>
      <c r="S280" s="39"/>
      <c r="T280" s="39"/>
      <c r="U280" s="39"/>
      <c r="V280" s="39"/>
      <c r="W280" s="39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35" t="s">
        <v>21</v>
      </c>
      <c r="B281" s="35" t="s">
        <v>33</v>
      </c>
      <c r="C281" s="35" t="s">
        <v>23</v>
      </c>
      <c r="D281" s="35" t="s">
        <v>49</v>
      </c>
      <c r="E281" s="35" t="s">
        <v>25</v>
      </c>
      <c r="F281" s="35" t="s">
        <v>25</v>
      </c>
      <c r="G281" s="35" t="s">
        <v>25</v>
      </c>
      <c r="H281" s="35" t="s">
        <v>25</v>
      </c>
      <c r="I281" s="55">
        <v>44682</v>
      </c>
      <c r="J281" s="56">
        <f>EFEITO!$J$281*EFEITO!$Y$281</f>
        <v>0</v>
      </c>
      <c r="K281" s="56">
        <f ca="1">EFEITO!$L$281*EFEITO!$Z$281</f>
        <v>1082.7347922893589</v>
      </c>
      <c r="L281" s="56">
        <f>EFEITO!$N$281*EFEITO!$AA$281</f>
        <v>314.688954116312</v>
      </c>
      <c r="M281" s="56">
        <f>$J$281-EFEITO!$K$281*EFEITO!$Y$281</f>
        <v>0</v>
      </c>
      <c r="N281" s="56">
        <f ca="1">$K$281-EFEITO!$M$281*EFEITO!$Z$281</f>
        <v>0</v>
      </c>
      <c r="O281" s="56">
        <f>$L$281-EFEITO!$O$281*EFEITO!$AA$281</f>
        <v>0</v>
      </c>
      <c r="P281" s="39"/>
      <c r="Q281" s="39"/>
      <c r="R281" s="39"/>
      <c r="S281" s="39"/>
      <c r="T281" s="39"/>
      <c r="U281" s="39"/>
      <c r="V281" s="39"/>
      <c r="W281" s="39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35" t="s">
        <v>21</v>
      </c>
      <c r="B282" s="35" t="s">
        <v>33</v>
      </c>
      <c r="C282" s="35" t="s">
        <v>23</v>
      </c>
      <c r="D282" s="35" t="s">
        <v>49</v>
      </c>
      <c r="E282" s="35" t="s">
        <v>25</v>
      </c>
      <c r="F282" s="35" t="s">
        <v>25</v>
      </c>
      <c r="G282" s="35" t="s">
        <v>25</v>
      </c>
      <c r="H282" s="35" t="s">
        <v>25</v>
      </c>
      <c r="I282" s="55">
        <v>44713</v>
      </c>
      <c r="J282" s="56">
        <f>EFEITO!$J$282*EFEITO!$Y$282</f>
        <v>0</v>
      </c>
      <c r="K282" s="56">
        <f ca="1">EFEITO!$L$282*EFEITO!$Z$282</f>
        <v>1193.9746682094985</v>
      </c>
      <c r="L282" s="56">
        <f>EFEITO!$N$282*EFEITO!$AA$282</f>
        <v>347.02001104607012</v>
      </c>
      <c r="M282" s="56">
        <f>$J$282-EFEITO!$K$282*EFEITO!$Y$282</f>
        <v>0</v>
      </c>
      <c r="N282" s="56">
        <f ca="1">$K$282-EFEITO!$M$282*EFEITO!$Z$282</f>
        <v>0</v>
      </c>
      <c r="O282" s="56">
        <f>$L$282-EFEITO!$O$282*EFEITO!$AA$282</f>
        <v>0</v>
      </c>
      <c r="P282" s="39"/>
      <c r="Q282" s="39"/>
      <c r="R282" s="39"/>
      <c r="S282" s="39"/>
      <c r="T282" s="39"/>
      <c r="U282" s="39"/>
      <c r="V282" s="39"/>
      <c r="W282" s="39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35" t="s">
        <v>21</v>
      </c>
      <c r="B283" s="35" t="s">
        <v>33</v>
      </c>
      <c r="C283" s="35" t="s">
        <v>23</v>
      </c>
      <c r="D283" s="35" t="s">
        <v>49</v>
      </c>
      <c r="E283" s="35" t="s">
        <v>25</v>
      </c>
      <c r="F283" s="35" t="s">
        <v>25</v>
      </c>
      <c r="G283" s="35" t="s">
        <v>25</v>
      </c>
      <c r="H283" s="35" t="s">
        <v>25</v>
      </c>
      <c r="I283" s="55">
        <v>44743</v>
      </c>
      <c r="J283" s="56">
        <f>EFEITO!$J$283*EFEITO!$Y$283</f>
        <v>0</v>
      </c>
      <c r="K283" s="56">
        <f ca="1">EFEITO!$L$283*EFEITO!$Z$283</f>
        <v>1227.3466309855405</v>
      </c>
      <c r="L283" s="56">
        <f>EFEITO!$N$283*EFEITO!$AA$283</f>
        <v>356.71932812499756</v>
      </c>
      <c r="M283" s="56">
        <f>$J$283-EFEITO!$K$283*EFEITO!$Y$283</f>
        <v>0</v>
      </c>
      <c r="N283" s="56">
        <f ca="1">$K$283-EFEITO!$M$283*EFEITO!$Z$283</f>
        <v>0</v>
      </c>
      <c r="O283" s="56">
        <f>$L$283-EFEITO!$O$283*EFEITO!$AA$283</f>
        <v>0</v>
      </c>
      <c r="P283" s="39"/>
      <c r="Q283" s="39"/>
      <c r="R283" s="39"/>
      <c r="S283" s="39"/>
      <c r="T283" s="39"/>
      <c r="U283" s="39"/>
      <c r="V283" s="39"/>
      <c r="W283" s="39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35" t="s">
        <v>21</v>
      </c>
      <c r="B284" s="35" t="s">
        <v>33</v>
      </c>
      <c r="C284" s="35" t="s">
        <v>23</v>
      </c>
      <c r="D284" s="35" t="s">
        <v>49</v>
      </c>
      <c r="E284" s="35" t="s">
        <v>25</v>
      </c>
      <c r="F284" s="35" t="s">
        <v>25</v>
      </c>
      <c r="G284" s="35" t="s">
        <v>25</v>
      </c>
      <c r="H284" s="35" t="s">
        <v>25</v>
      </c>
      <c r="I284" s="55">
        <v>44774</v>
      </c>
      <c r="J284" s="56">
        <f>EFEITO!$J$284*EFEITO!$Y$284</f>
        <v>0</v>
      </c>
      <c r="K284" s="56">
        <f ca="1">EFEITO!$L$284*EFEITO!$Z$284</f>
        <v>1046.7142610390281</v>
      </c>
      <c r="L284" s="56">
        <f>EFEITO!$N$284*EFEITO!$AA$284</f>
        <v>304.21984996762842</v>
      </c>
      <c r="M284" s="56">
        <f>$J$284-EFEITO!$K$284*EFEITO!$Y$284</f>
        <v>0</v>
      </c>
      <c r="N284" s="56">
        <f ca="1">$K$284-EFEITO!$M$284*EFEITO!$Z$284</f>
        <v>0</v>
      </c>
      <c r="O284" s="56">
        <f>$L$284-EFEITO!$O$284*EFEITO!$AA$284</f>
        <v>0</v>
      </c>
      <c r="P284" s="39"/>
      <c r="Q284" s="39"/>
      <c r="R284" s="39"/>
      <c r="S284" s="39"/>
      <c r="T284" s="39"/>
      <c r="U284" s="39"/>
      <c r="V284" s="39"/>
      <c r="W284" s="39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35" t="s">
        <v>21</v>
      </c>
      <c r="B285" s="35" t="s">
        <v>33</v>
      </c>
      <c r="C285" s="35" t="s">
        <v>23</v>
      </c>
      <c r="D285" s="35" t="s">
        <v>34</v>
      </c>
      <c r="E285" s="35" t="s">
        <v>25</v>
      </c>
      <c r="F285" s="35" t="s">
        <v>25</v>
      </c>
      <c r="G285" s="35" t="s">
        <v>25</v>
      </c>
      <c r="H285" s="35" t="s">
        <v>25</v>
      </c>
      <c r="I285" s="55">
        <v>44440</v>
      </c>
      <c r="J285" s="56">
        <f>EFEITO!$J$285*EFEITO!$Y$285</f>
        <v>0</v>
      </c>
      <c r="K285" s="56">
        <f ca="1">EFEITO!$L$285*EFEITO!$Z$285</f>
        <v>35775.803523306611</v>
      </c>
      <c r="L285" s="56">
        <f>EFEITO!$N$285*EFEITO!$AA$285</f>
        <v>10397.975823438102</v>
      </c>
      <c r="M285" s="56">
        <f>$J$285-EFEITO!$K$285*EFEITO!$Y$285</f>
        <v>0</v>
      </c>
      <c r="N285" s="56">
        <f ca="1">$K$285-EFEITO!$M$285*EFEITO!$Z$285</f>
        <v>0</v>
      </c>
      <c r="O285" s="56">
        <f>$L$285-EFEITO!$O$285*EFEITO!$AA$285</f>
        <v>0</v>
      </c>
      <c r="P285" s="39"/>
      <c r="Q285" s="39"/>
      <c r="R285" s="39"/>
      <c r="S285" s="39"/>
      <c r="T285" s="39"/>
      <c r="U285" s="39"/>
      <c r="V285" s="39"/>
      <c r="W285" s="39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35" t="s">
        <v>28</v>
      </c>
      <c r="B286" s="35" t="s">
        <v>33</v>
      </c>
      <c r="C286" s="35" t="s">
        <v>23</v>
      </c>
      <c r="D286" s="35" t="s">
        <v>34</v>
      </c>
      <c r="E286" s="35" t="s">
        <v>25</v>
      </c>
      <c r="F286" s="35" t="s">
        <v>25</v>
      </c>
      <c r="G286" s="35" t="s">
        <v>25</v>
      </c>
      <c r="H286" s="35" t="s">
        <v>25</v>
      </c>
      <c r="I286" s="55">
        <v>44440</v>
      </c>
      <c r="J286" s="56">
        <f>EFEITO!$J$286*EFEITO!$Y$286</f>
        <v>0</v>
      </c>
      <c r="K286" s="56">
        <f ca="1">EFEITO!$L$286*EFEITO!$Z$286</f>
        <v>25968.684176709165</v>
      </c>
      <c r="L286" s="56">
        <f>EFEITO!$N$286*EFEITO!$AA$286</f>
        <v>7547.6082615450496</v>
      </c>
      <c r="M286" s="56">
        <f>$J$286-EFEITO!$K$286*EFEITO!$Y$286</f>
        <v>0</v>
      </c>
      <c r="N286" s="56">
        <f ca="1">$K$286-EFEITO!$M$286*EFEITO!$Z$286</f>
        <v>0</v>
      </c>
      <c r="O286" s="56">
        <f>$L$286-EFEITO!$O$286*EFEITO!$AA$286</f>
        <v>0</v>
      </c>
      <c r="P286" s="39"/>
      <c r="Q286" s="39"/>
      <c r="R286" s="39"/>
      <c r="S286" s="39"/>
      <c r="T286" s="39"/>
      <c r="U286" s="39"/>
      <c r="V286" s="39"/>
      <c r="W286" s="39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35" t="s">
        <v>21</v>
      </c>
      <c r="B287" s="35" t="s">
        <v>33</v>
      </c>
      <c r="C287" s="35" t="s">
        <v>23</v>
      </c>
      <c r="D287" s="35" t="s">
        <v>34</v>
      </c>
      <c r="E287" s="35" t="s">
        <v>25</v>
      </c>
      <c r="F287" s="35" t="s">
        <v>25</v>
      </c>
      <c r="G287" s="35" t="s">
        <v>25</v>
      </c>
      <c r="H287" s="35" t="s">
        <v>25</v>
      </c>
      <c r="I287" s="55">
        <v>44470</v>
      </c>
      <c r="J287" s="56">
        <f>EFEITO!$J$287*EFEITO!$Y$287</f>
        <v>0</v>
      </c>
      <c r="K287" s="56">
        <f ca="1">EFEITO!$L$287*EFEITO!$Z$287</f>
        <v>30981.364871148598</v>
      </c>
      <c r="L287" s="56">
        <f>EFEITO!$N$287*EFEITO!$AA$287</f>
        <v>9004.5072697655287</v>
      </c>
      <c r="M287" s="56">
        <f>$J$287-EFEITO!$K$287*EFEITO!$Y$287</f>
        <v>0</v>
      </c>
      <c r="N287" s="56">
        <f ca="1">$K$287-EFEITO!$M$287*EFEITO!$Z$287</f>
        <v>0</v>
      </c>
      <c r="O287" s="56">
        <f>$L$287-EFEITO!$O$287*EFEITO!$AA$287</f>
        <v>0</v>
      </c>
      <c r="P287" s="39"/>
      <c r="Q287" s="39"/>
      <c r="R287" s="39"/>
      <c r="S287" s="39"/>
      <c r="T287" s="39"/>
      <c r="U287" s="39"/>
      <c r="V287" s="39"/>
      <c r="W287" s="39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35" t="s">
        <v>28</v>
      </c>
      <c r="B288" s="35" t="s">
        <v>33</v>
      </c>
      <c r="C288" s="35" t="s">
        <v>23</v>
      </c>
      <c r="D288" s="35" t="s">
        <v>34</v>
      </c>
      <c r="E288" s="35" t="s">
        <v>25</v>
      </c>
      <c r="F288" s="35" t="s">
        <v>25</v>
      </c>
      <c r="G288" s="35" t="s">
        <v>25</v>
      </c>
      <c r="H288" s="35" t="s">
        <v>25</v>
      </c>
      <c r="I288" s="55">
        <v>44470</v>
      </c>
      <c r="J288" s="56">
        <f>EFEITO!$J$288*EFEITO!$Y$288</f>
        <v>0</v>
      </c>
      <c r="K288" s="56">
        <f ca="1">EFEITO!$L$288*EFEITO!$Z$288</f>
        <v>20808.743075099261</v>
      </c>
      <c r="L288" s="56">
        <f>EFEITO!$N$288*EFEITO!$AA$288</f>
        <v>6047.9090922461282</v>
      </c>
      <c r="M288" s="56">
        <f>$J$288-EFEITO!$K$288*EFEITO!$Y$288</f>
        <v>0</v>
      </c>
      <c r="N288" s="56">
        <f ca="1">$K$288-EFEITO!$M$288*EFEITO!$Z$288</f>
        <v>0</v>
      </c>
      <c r="O288" s="56">
        <f>$L$288-EFEITO!$O$288*EFEITO!$AA$288</f>
        <v>0</v>
      </c>
      <c r="P288" s="39"/>
      <c r="Q288" s="39"/>
      <c r="R288" s="39"/>
      <c r="S288" s="39"/>
      <c r="T288" s="39"/>
      <c r="U288" s="39"/>
      <c r="V288" s="39"/>
      <c r="W288" s="39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35" t="s">
        <v>21</v>
      </c>
      <c r="B289" s="35" t="s">
        <v>33</v>
      </c>
      <c r="C289" s="35" t="s">
        <v>23</v>
      </c>
      <c r="D289" s="35" t="s">
        <v>34</v>
      </c>
      <c r="E289" s="35" t="s">
        <v>25</v>
      </c>
      <c r="F289" s="35" t="s">
        <v>25</v>
      </c>
      <c r="G289" s="35" t="s">
        <v>25</v>
      </c>
      <c r="H289" s="35" t="s">
        <v>25</v>
      </c>
      <c r="I289" s="55">
        <v>44501</v>
      </c>
      <c r="J289" s="56">
        <f>EFEITO!$J$289*EFEITO!$Y$289</f>
        <v>0</v>
      </c>
      <c r="K289" s="56">
        <f ca="1">EFEITO!$L$289*EFEITO!$Z$289</f>
        <v>34072.244280643907</v>
      </c>
      <c r="L289" s="56">
        <f>EFEITO!$N$289*EFEITO!$AA$289</f>
        <v>9902.8487801709507</v>
      </c>
      <c r="M289" s="56">
        <f>$J$289-EFEITO!$K$289*EFEITO!$Y$289</f>
        <v>0</v>
      </c>
      <c r="N289" s="56">
        <f ca="1">$K$289-EFEITO!$M$289*EFEITO!$Z$289</f>
        <v>0</v>
      </c>
      <c r="O289" s="56">
        <f>$L$289-EFEITO!$O$289*EFEITO!$AA$289</f>
        <v>0</v>
      </c>
      <c r="P289" s="39"/>
      <c r="Q289" s="39"/>
      <c r="R289" s="39"/>
      <c r="S289" s="39"/>
      <c r="T289" s="39"/>
      <c r="U289" s="39"/>
      <c r="V289" s="39"/>
      <c r="W289" s="39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35" t="s">
        <v>28</v>
      </c>
      <c r="B290" s="35" t="s">
        <v>33</v>
      </c>
      <c r="C290" s="35" t="s">
        <v>23</v>
      </c>
      <c r="D290" s="35" t="s">
        <v>34</v>
      </c>
      <c r="E290" s="35" t="s">
        <v>25</v>
      </c>
      <c r="F290" s="35" t="s">
        <v>25</v>
      </c>
      <c r="G290" s="35" t="s">
        <v>25</v>
      </c>
      <c r="H290" s="35" t="s">
        <v>25</v>
      </c>
      <c r="I290" s="55">
        <v>44501</v>
      </c>
      <c r="J290" s="56">
        <f>EFEITO!$J$290*EFEITO!$Y$290</f>
        <v>0</v>
      </c>
      <c r="K290" s="56">
        <f ca="1">EFEITO!$L$290*EFEITO!$Z$290</f>
        <v>14705.381882947599</v>
      </c>
      <c r="L290" s="56">
        <f>EFEITO!$N$290*EFEITO!$AA$290</f>
        <v>4274.0117687000675</v>
      </c>
      <c r="M290" s="56">
        <f>$J$290-EFEITO!$K$290*EFEITO!$Y$290</f>
        <v>0</v>
      </c>
      <c r="N290" s="56">
        <f ca="1">$K$290-EFEITO!$M$290*EFEITO!$Z$290</f>
        <v>0</v>
      </c>
      <c r="O290" s="56">
        <f>$L$290-EFEITO!$O$290*EFEITO!$AA$290</f>
        <v>0</v>
      </c>
      <c r="P290" s="39"/>
      <c r="Q290" s="39"/>
      <c r="R290" s="39"/>
      <c r="S290" s="39"/>
      <c r="T290" s="39"/>
      <c r="U290" s="39"/>
      <c r="V290" s="39"/>
      <c r="W290" s="39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35" t="s">
        <v>21</v>
      </c>
      <c r="B291" s="35" t="s">
        <v>33</v>
      </c>
      <c r="C291" s="35" t="s">
        <v>23</v>
      </c>
      <c r="D291" s="35" t="s">
        <v>34</v>
      </c>
      <c r="E291" s="35" t="s">
        <v>25</v>
      </c>
      <c r="F291" s="35" t="s">
        <v>25</v>
      </c>
      <c r="G291" s="35" t="s">
        <v>25</v>
      </c>
      <c r="H291" s="35" t="s">
        <v>25</v>
      </c>
      <c r="I291" s="55">
        <v>44531</v>
      </c>
      <c r="J291" s="56">
        <f>EFEITO!$J$291*EFEITO!$Y$291</f>
        <v>0</v>
      </c>
      <c r="K291" s="56">
        <f ca="1">EFEITO!$L$291*EFEITO!$Z$291</f>
        <v>34849.334271000313</v>
      </c>
      <c r="L291" s="56">
        <f>EFEITO!$N$291*EFEITO!$AA$291</f>
        <v>10128.704306437403</v>
      </c>
      <c r="M291" s="56">
        <f>$J$291-EFEITO!$K$291*EFEITO!$Y$291</f>
        <v>0</v>
      </c>
      <c r="N291" s="56">
        <f ca="1">$K$291-EFEITO!$M$291*EFEITO!$Z$291</f>
        <v>0</v>
      </c>
      <c r="O291" s="56">
        <f>$L$291-EFEITO!$O$291*EFEITO!$AA$291</f>
        <v>0</v>
      </c>
      <c r="P291" s="39"/>
      <c r="Q291" s="39"/>
      <c r="R291" s="39"/>
      <c r="S291" s="39"/>
      <c r="T291" s="39"/>
      <c r="U291" s="39"/>
      <c r="V291" s="39"/>
      <c r="W291" s="39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35" t="s">
        <v>28</v>
      </c>
      <c r="B292" s="35" t="s">
        <v>33</v>
      </c>
      <c r="C292" s="35" t="s">
        <v>23</v>
      </c>
      <c r="D292" s="35" t="s">
        <v>34</v>
      </c>
      <c r="E292" s="35" t="s">
        <v>25</v>
      </c>
      <c r="F292" s="35" t="s">
        <v>25</v>
      </c>
      <c r="G292" s="35" t="s">
        <v>25</v>
      </c>
      <c r="H292" s="35" t="s">
        <v>25</v>
      </c>
      <c r="I292" s="55">
        <v>44531</v>
      </c>
      <c r="J292" s="56">
        <f>EFEITO!$J$292*EFEITO!$Y$292</f>
        <v>0</v>
      </c>
      <c r="K292" s="56">
        <f ca="1">EFEITO!$L$292*EFEITO!$Z$292</f>
        <v>11456.647792384665</v>
      </c>
      <c r="L292" s="56">
        <f>EFEITO!$N$292*EFEITO!$AA$292</f>
        <v>3329.79094893718</v>
      </c>
      <c r="M292" s="56">
        <f>$J$292-EFEITO!$K$292*EFEITO!$Y$292</f>
        <v>0</v>
      </c>
      <c r="N292" s="56">
        <f ca="1">$K$292-EFEITO!$M$292*EFEITO!$Z$292</f>
        <v>0</v>
      </c>
      <c r="O292" s="56">
        <f>$L$292-EFEITO!$O$292*EFEITO!$AA$292</f>
        <v>0</v>
      </c>
      <c r="P292" s="39"/>
      <c r="Q292" s="39"/>
      <c r="R292" s="39"/>
      <c r="S292" s="39"/>
      <c r="T292" s="39"/>
      <c r="U292" s="39"/>
      <c r="V292" s="39"/>
      <c r="W292" s="39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35" t="s">
        <v>21</v>
      </c>
      <c r="B293" s="35" t="s">
        <v>33</v>
      </c>
      <c r="C293" s="35" t="s">
        <v>23</v>
      </c>
      <c r="D293" s="35" t="s">
        <v>34</v>
      </c>
      <c r="E293" s="35" t="s">
        <v>25</v>
      </c>
      <c r="F293" s="35" t="s">
        <v>25</v>
      </c>
      <c r="G293" s="35" t="s">
        <v>25</v>
      </c>
      <c r="H293" s="35" t="s">
        <v>25</v>
      </c>
      <c r="I293" s="55">
        <v>44562</v>
      </c>
      <c r="J293" s="56">
        <f>EFEITO!$J$293*EFEITO!$Y$293</f>
        <v>0</v>
      </c>
      <c r="K293" s="56">
        <f ca="1">EFEITO!$L$293*EFEITO!$Z$293</f>
        <v>33881.017636800236</v>
      </c>
      <c r="L293" s="56">
        <f>EFEITO!$N$293*EFEITO!$AA$293</f>
        <v>9847.2701537345565</v>
      </c>
      <c r="M293" s="56">
        <f>$J$293-EFEITO!$K$293*EFEITO!$Y$293</f>
        <v>0</v>
      </c>
      <c r="N293" s="56">
        <f ca="1">$K$293-EFEITO!$M$293*EFEITO!$Z$293</f>
        <v>0</v>
      </c>
      <c r="O293" s="56">
        <f>$L$293-EFEITO!$O$293*EFEITO!$AA$293</f>
        <v>0</v>
      </c>
      <c r="P293" s="39"/>
      <c r="Q293" s="39"/>
      <c r="R293" s="39"/>
      <c r="S293" s="39"/>
      <c r="T293" s="39"/>
      <c r="U293" s="39"/>
      <c r="V293" s="39"/>
      <c r="W293" s="39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35" t="s">
        <v>28</v>
      </c>
      <c r="B294" s="35" t="s">
        <v>33</v>
      </c>
      <c r="C294" s="35" t="s">
        <v>23</v>
      </c>
      <c r="D294" s="35" t="s">
        <v>34</v>
      </c>
      <c r="E294" s="35" t="s">
        <v>25</v>
      </c>
      <c r="F294" s="35" t="s">
        <v>25</v>
      </c>
      <c r="G294" s="35" t="s">
        <v>25</v>
      </c>
      <c r="H294" s="35" t="s">
        <v>25</v>
      </c>
      <c r="I294" s="55">
        <v>44562</v>
      </c>
      <c r="J294" s="56">
        <f>EFEITO!$J$294*EFEITO!$Y$294</f>
        <v>0</v>
      </c>
      <c r="K294" s="56">
        <f ca="1">EFEITO!$L$294*EFEITO!$Z$294</f>
        <v>1459.8909430281178</v>
      </c>
      <c r="L294" s="56">
        <f>EFEITO!$N$294*EFEITO!$AA$294</f>
        <v>424.306632849587</v>
      </c>
      <c r="M294" s="56">
        <f>$J$294-EFEITO!$K$294*EFEITO!$Y$294</f>
        <v>0</v>
      </c>
      <c r="N294" s="56">
        <f ca="1">$K$294-EFEITO!$M$294*EFEITO!$Z$294</f>
        <v>0</v>
      </c>
      <c r="O294" s="56">
        <f>$L$294-EFEITO!$O$294*EFEITO!$AA$294</f>
        <v>0</v>
      </c>
      <c r="P294" s="39"/>
      <c r="Q294" s="39"/>
      <c r="R294" s="39"/>
      <c r="S294" s="39"/>
      <c r="T294" s="39"/>
      <c r="U294" s="39"/>
      <c r="V294" s="39"/>
      <c r="W294" s="39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35" t="s">
        <v>21</v>
      </c>
      <c r="B295" s="35" t="s">
        <v>33</v>
      </c>
      <c r="C295" s="35" t="s">
        <v>23</v>
      </c>
      <c r="D295" s="35" t="s">
        <v>34</v>
      </c>
      <c r="E295" s="35" t="s">
        <v>25</v>
      </c>
      <c r="F295" s="35" t="s">
        <v>25</v>
      </c>
      <c r="G295" s="35" t="s">
        <v>25</v>
      </c>
      <c r="H295" s="35" t="s">
        <v>25</v>
      </c>
      <c r="I295" s="55">
        <v>44593</v>
      </c>
      <c r="J295" s="56">
        <f>EFEITO!$J$295*EFEITO!$Y$295</f>
        <v>0</v>
      </c>
      <c r="K295" s="56">
        <f ca="1">EFEITO!$L$295*EFEITO!$Z$295</f>
        <v>38176.995702097054</v>
      </c>
      <c r="L295" s="56">
        <f>EFEITO!$N$295*EFEITO!$AA$295</f>
        <v>11095.864780879023</v>
      </c>
      <c r="M295" s="56">
        <f>$J$295-EFEITO!$K$295*EFEITO!$Y$295</f>
        <v>0</v>
      </c>
      <c r="N295" s="56">
        <f ca="1">$K$295-EFEITO!$M$295*EFEITO!$Z$295</f>
        <v>0</v>
      </c>
      <c r="O295" s="56">
        <f>$L$295-EFEITO!$O$295*EFEITO!$AA$295</f>
        <v>0</v>
      </c>
      <c r="P295" s="39"/>
      <c r="Q295" s="39"/>
      <c r="R295" s="39"/>
      <c r="S295" s="39"/>
      <c r="T295" s="39"/>
      <c r="U295" s="39"/>
      <c r="V295" s="39"/>
      <c r="W295" s="39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35" t="s">
        <v>28</v>
      </c>
      <c r="B296" s="35" t="s">
        <v>33</v>
      </c>
      <c r="C296" s="35" t="s">
        <v>23</v>
      </c>
      <c r="D296" s="35" t="s">
        <v>34</v>
      </c>
      <c r="E296" s="35" t="s">
        <v>25</v>
      </c>
      <c r="F296" s="35" t="s">
        <v>25</v>
      </c>
      <c r="G296" s="35" t="s">
        <v>25</v>
      </c>
      <c r="H296" s="35" t="s">
        <v>25</v>
      </c>
      <c r="I296" s="55">
        <v>44593</v>
      </c>
      <c r="J296" s="56">
        <f>EFEITO!$J$296*EFEITO!$Y$296</f>
        <v>0</v>
      </c>
      <c r="K296" s="56">
        <f ca="1">EFEITO!$L$296*EFEITO!$Z$296</f>
        <v>22782.45630213945</v>
      </c>
      <c r="L296" s="56">
        <f>EFEITO!$N$296*EFEITO!$AA$296</f>
        <v>6621.5544166284071</v>
      </c>
      <c r="M296" s="56">
        <f>$J$296-EFEITO!$K$296*EFEITO!$Y$296</f>
        <v>0</v>
      </c>
      <c r="N296" s="56">
        <f ca="1">$K$296-EFEITO!$M$296*EFEITO!$Z$296</f>
        <v>0</v>
      </c>
      <c r="O296" s="56">
        <f>$L$296-EFEITO!$O$296*EFEITO!$AA$296</f>
        <v>0</v>
      </c>
      <c r="P296" s="39"/>
      <c r="Q296" s="39"/>
      <c r="R296" s="39"/>
      <c r="S296" s="39"/>
      <c r="T296" s="39"/>
      <c r="U296" s="39"/>
      <c r="V296" s="39"/>
      <c r="W296" s="39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35" t="s">
        <v>21</v>
      </c>
      <c r="B297" s="35" t="s">
        <v>33</v>
      </c>
      <c r="C297" s="35" t="s">
        <v>23</v>
      </c>
      <c r="D297" s="35" t="s">
        <v>34</v>
      </c>
      <c r="E297" s="35" t="s">
        <v>25</v>
      </c>
      <c r="F297" s="35" t="s">
        <v>25</v>
      </c>
      <c r="G297" s="35" t="s">
        <v>25</v>
      </c>
      <c r="H297" s="35" t="s">
        <v>25</v>
      </c>
      <c r="I297" s="55">
        <v>44621</v>
      </c>
      <c r="J297" s="56">
        <f>EFEITO!$J$297*EFEITO!$Y$297</f>
        <v>0</v>
      </c>
      <c r="K297" s="56">
        <f ca="1">EFEITO!$L$297*EFEITO!$Z$297</f>
        <v>33208.281244330821</v>
      </c>
      <c r="L297" s="56">
        <f>EFEITO!$N$297*EFEITO!$AA$297</f>
        <v>9651.7442380164957</v>
      </c>
      <c r="M297" s="56">
        <f>$J$297-EFEITO!$K$297*EFEITO!$Y$297</f>
        <v>0</v>
      </c>
      <c r="N297" s="56">
        <f ca="1">$K$297-EFEITO!$M$297*EFEITO!$Z$297</f>
        <v>0</v>
      </c>
      <c r="O297" s="56">
        <f>$L$297-EFEITO!$O$297*EFEITO!$AA$297</f>
        <v>0</v>
      </c>
      <c r="P297" s="39"/>
      <c r="Q297" s="39"/>
      <c r="R297" s="39"/>
      <c r="S297" s="39"/>
      <c r="T297" s="39"/>
      <c r="U297" s="39"/>
      <c r="V297" s="39"/>
      <c r="W297" s="39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35" t="s">
        <v>28</v>
      </c>
      <c r="B298" s="35" t="s">
        <v>33</v>
      </c>
      <c r="C298" s="35" t="s">
        <v>23</v>
      </c>
      <c r="D298" s="35" t="s">
        <v>34</v>
      </c>
      <c r="E298" s="35" t="s">
        <v>25</v>
      </c>
      <c r="F298" s="35" t="s">
        <v>25</v>
      </c>
      <c r="G298" s="35" t="s">
        <v>25</v>
      </c>
      <c r="H298" s="35" t="s">
        <v>25</v>
      </c>
      <c r="I298" s="55">
        <v>44621</v>
      </c>
      <c r="J298" s="56">
        <f>EFEITO!$J$298*EFEITO!$Y$298</f>
        <v>0</v>
      </c>
      <c r="K298" s="56">
        <f ca="1">EFEITO!$L$298*EFEITO!$Z$298</f>
        <v>20734.053444124311</v>
      </c>
      <c r="L298" s="56">
        <f>EFEITO!$N$298*EFEITO!$AA$298</f>
        <v>6026.2010968790046</v>
      </c>
      <c r="M298" s="56">
        <f>$J$298-EFEITO!$K$298*EFEITO!$Y$298</f>
        <v>0</v>
      </c>
      <c r="N298" s="56">
        <f ca="1">$K$298-EFEITO!$M$298*EFEITO!$Z$298</f>
        <v>0</v>
      </c>
      <c r="O298" s="56">
        <f>$L$298-EFEITO!$O$298*EFEITO!$AA$298</f>
        <v>0</v>
      </c>
      <c r="P298" s="39"/>
      <c r="Q298" s="39"/>
      <c r="R298" s="39"/>
      <c r="S298" s="39"/>
      <c r="T298" s="39"/>
      <c r="U298" s="39"/>
      <c r="V298" s="39"/>
      <c r="W298" s="39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35" t="s">
        <v>21</v>
      </c>
      <c r="B299" s="35" t="s">
        <v>33</v>
      </c>
      <c r="C299" s="35" t="s">
        <v>23</v>
      </c>
      <c r="D299" s="35" t="s">
        <v>34</v>
      </c>
      <c r="E299" s="35" t="s">
        <v>25</v>
      </c>
      <c r="F299" s="35" t="s">
        <v>25</v>
      </c>
      <c r="G299" s="35" t="s">
        <v>25</v>
      </c>
      <c r="H299" s="35" t="s">
        <v>25</v>
      </c>
      <c r="I299" s="55">
        <v>44652</v>
      </c>
      <c r="J299" s="56">
        <f>EFEITO!$J$299*EFEITO!$Y$299</f>
        <v>0</v>
      </c>
      <c r="K299" s="56">
        <f ca="1">EFEITO!$L$299*EFEITO!$Z$299</f>
        <v>29897.040937774666</v>
      </c>
      <c r="L299" s="56">
        <f>EFEITO!$N$299*EFEITO!$AA$299</f>
        <v>8689.3564434073633</v>
      </c>
      <c r="M299" s="56">
        <f>$J$299-EFEITO!$K$299*EFEITO!$Y$299</f>
        <v>0</v>
      </c>
      <c r="N299" s="56">
        <f ca="1">$K$299-EFEITO!$M$299*EFEITO!$Z$299</f>
        <v>0</v>
      </c>
      <c r="O299" s="56">
        <f>$L$299-EFEITO!$O$299*EFEITO!$AA$299</f>
        <v>0</v>
      </c>
      <c r="P299" s="39"/>
      <c r="Q299" s="39"/>
      <c r="R299" s="39"/>
      <c r="S299" s="39"/>
      <c r="T299" s="39"/>
      <c r="U299" s="39"/>
      <c r="V299" s="39"/>
      <c r="W299" s="39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35" t="s">
        <v>28</v>
      </c>
      <c r="B300" s="35" t="s">
        <v>33</v>
      </c>
      <c r="C300" s="35" t="s">
        <v>23</v>
      </c>
      <c r="D300" s="35" t="s">
        <v>34</v>
      </c>
      <c r="E300" s="35" t="s">
        <v>25</v>
      </c>
      <c r="F300" s="35" t="s">
        <v>25</v>
      </c>
      <c r="G300" s="35" t="s">
        <v>25</v>
      </c>
      <c r="H300" s="35" t="s">
        <v>25</v>
      </c>
      <c r="I300" s="55">
        <v>44652</v>
      </c>
      <c r="J300" s="56">
        <f>EFEITO!$J$300*EFEITO!$Y$300</f>
        <v>0</v>
      </c>
      <c r="K300" s="56">
        <f ca="1">EFEITO!$L$300*EFEITO!$Z$300</f>
        <v>15627.613425695043</v>
      </c>
      <c r="L300" s="56">
        <f>EFEITO!$N$300*EFEITO!$AA$300</f>
        <v>4542.0516263891568</v>
      </c>
      <c r="M300" s="56">
        <f>$J$300-EFEITO!$K$300*EFEITO!$Y$300</f>
        <v>0</v>
      </c>
      <c r="N300" s="56">
        <f ca="1">$K$300-EFEITO!$M$300*EFEITO!$Z$300</f>
        <v>0</v>
      </c>
      <c r="O300" s="56">
        <f>$L$300-EFEITO!$O$300*EFEITO!$AA$300</f>
        <v>0</v>
      </c>
      <c r="P300" s="39"/>
      <c r="Q300" s="39"/>
      <c r="R300" s="39"/>
      <c r="S300" s="39"/>
      <c r="T300" s="39"/>
      <c r="U300" s="39"/>
      <c r="V300" s="39"/>
      <c r="W300" s="39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35" t="s">
        <v>21</v>
      </c>
      <c r="B301" s="35" t="s">
        <v>33</v>
      </c>
      <c r="C301" s="35" t="s">
        <v>23</v>
      </c>
      <c r="D301" s="35" t="s">
        <v>34</v>
      </c>
      <c r="E301" s="35" t="s">
        <v>25</v>
      </c>
      <c r="F301" s="35" t="s">
        <v>25</v>
      </c>
      <c r="G301" s="35" t="s">
        <v>25</v>
      </c>
      <c r="H301" s="35" t="s">
        <v>25</v>
      </c>
      <c r="I301" s="55">
        <v>44682</v>
      </c>
      <c r="J301" s="56">
        <f>EFEITO!$J$301*EFEITO!$Y$301</f>
        <v>0</v>
      </c>
      <c r="K301" s="56">
        <f ca="1">EFEITO!$L$301*EFEITO!$Z$301</f>
        <v>30865.887285669596</v>
      </c>
      <c r="L301" s="56">
        <f>EFEITO!$N$301*EFEITO!$AA$301</f>
        <v>8970.9445535241612</v>
      </c>
      <c r="M301" s="56">
        <f>$J$301-EFEITO!$K$301*EFEITO!$Y$301</f>
        <v>0</v>
      </c>
      <c r="N301" s="56">
        <f ca="1">$K$301-EFEITO!$M$301*EFEITO!$Z$301</f>
        <v>0</v>
      </c>
      <c r="O301" s="56">
        <f>$L$301-EFEITO!$O$301*EFEITO!$AA$301</f>
        <v>0</v>
      </c>
      <c r="P301" s="39"/>
      <c r="Q301" s="39"/>
      <c r="R301" s="39"/>
      <c r="S301" s="39"/>
      <c r="T301" s="39"/>
      <c r="U301" s="39"/>
      <c r="V301" s="39"/>
      <c r="W301" s="39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35" t="s">
        <v>28</v>
      </c>
      <c r="B302" s="35" t="s">
        <v>33</v>
      </c>
      <c r="C302" s="35" t="s">
        <v>23</v>
      </c>
      <c r="D302" s="35" t="s">
        <v>34</v>
      </c>
      <c r="E302" s="35" t="s">
        <v>25</v>
      </c>
      <c r="F302" s="35" t="s">
        <v>25</v>
      </c>
      <c r="G302" s="35" t="s">
        <v>25</v>
      </c>
      <c r="H302" s="35" t="s">
        <v>25</v>
      </c>
      <c r="I302" s="55">
        <v>44682</v>
      </c>
      <c r="J302" s="56">
        <f>EFEITO!$J$302*EFEITO!$Y$302</f>
        <v>0</v>
      </c>
      <c r="K302" s="56">
        <f ca="1">EFEITO!$L$302*EFEITO!$Z$302</f>
        <v>17476.843934443652</v>
      </c>
      <c r="L302" s="56">
        <f>EFEITO!$N$302*EFEITO!$AA$302</f>
        <v>5079.5169584928981</v>
      </c>
      <c r="M302" s="56">
        <f>$J$302-EFEITO!$K$302*EFEITO!$Y$302</f>
        <v>0</v>
      </c>
      <c r="N302" s="56">
        <f ca="1">$K$302-EFEITO!$M$302*EFEITO!$Z$302</f>
        <v>0</v>
      </c>
      <c r="O302" s="56">
        <f>$L$302-EFEITO!$O$302*EFEITO!$AA$302</f>
        <v>0</v>
      </c>
      <c r="P302" s="39"/>
      <c r="Q302" s="39"/>
      <c r="R302" s="39"/>
      <c r="S302" s="39"/>
      <c r="T302" s="39"/>
      <c r="U302" s="39"/>
      <c r="V302" s="39"/>
      <c r="W302" s="39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35" t="s">
        <v>21</v>
      </c>
      <c r="B303" s="35" t="s">
        <v>33</v>
      </c>
      <c r="C303" s="35" t="s">
        <v>23</v>
      </c>
      <c r="D303" s="35" t="s">
        <v>34</v>
      </c>
      <c r="E303" s="35" t="s">
        <v>25</v>
      </c>
      <c r="F303" s="35" t="s">
        <v>25</v>
      </c>
      <c r="G303" s="35" t="s">
        <v>25</v>
      </c>
      <c r="H303" s="35" t="s">
        <v>25</v>
      </c>
      <c r="I303" s="55">
        <v>44713</v>
      </c>
      <c r="J303" s="56">
        <f>EFEITO!$J$303*EFEITO!$Y$303</f>
        <v>0</v>
      </c>
      <c r="K303" s="56">
        <f ca="1">EFEITO!$L$303*EFEITO!$Z$303</f>
        <v>29531.538488322778</v>
      </c>
      <c r="L303" s="56">
        <f>EFEITO!$N$303*EFEITO!$AA$303</f>
        <v>8583.1258277810157</v>
      </c>
      <c r="M303" s="56">
        <f>$J$303-EFEITO!$K$303*EFEITO!$Y$303</f>
        <v>0</v>
      </c>
      <c r="N303" s="56">
        <f ca="1">$K$303-EFEITO!$M$303*EFEITO!$Z$303</f>
        <v>0</v>
      </c>
      <c r="O303" s="56">
        <f>$L$303-EFEITO!$O$303*EFEITO!$AA$303</f>
        <v>0</v>
      </c>
      <c r="P303" s="39"/>
      <c r="Q303" s="39"/>
      <c r="R303" s="39"/>
      <c r="S303" s="39"/>
      <c r="T303" s="39"/>
      <c r="U303" s="39"/>
      <c r="V303" s="39"/>
      <c r="W303" s="39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35" t="s">
        <v>28</v>
      </c>
      <c r="B304" s="35" t="s">
        <v>33</v>
      </c>
      <c r="C304" s="35" t="s">
        <v>23</v>
      </c>
      <c r="D304" s="35" t="s">
        <v>34</v>
      </c>
      <c r="E304" s="35" t="s">
        <v>25</v>
      </c>
      <c r="F304" s="35" t="s">
        <v>25</v>
      </c>
      <c r="G304" s="35" t="s">
        <v>25</v>
      </c>
      <c r="H304" s="35" t="s">
        <v>25</v>
      </c>
      <c r="I304" s="55">
        <v>44713</v>
      </c>
      <c r="J304" s="56">
        <f>EFEITO!$J$304*EFEITO!$Y$304</f>
        <v>0</v>
      </c>
      <c r="K304" s="56">
        <f ca="1">EFEITO!$L$304*EFEITO!$Z$304</f>
        <v>21219.271188614061</v>
      </c>
      <c r="L304" s="56">
        <f>EFEITO!$N$304*EFEITO!$AA$304</f>
        <v>6167.2260880583299</v>
      </c>
      <c r="M304" s="56">
        <f>$J$304-EFEITO!$K$304*EFEITO!$Y$304</f>
        <v>0</v>
      </c>
      <c r="N304" s="56">
        <f ca="1">$K$304-EFEITO!$M$304*EFEITO!$Z$304</f>
        <v>0</v>
      </c>
      <c r="O304" s="56">
        <f>$L$304-EFEITO!$O$304*EFEITO!$AA$304</f>
        <v>0</v>
      </c>
      <c r="P304" s="39"/>
      <c r="Q304" s="39"/>
      <c r="R304" s="39"/>
      <c r="S304" s="39"/>
      <c r="T304" s="39"/>
      <c r="U304" s="39"/>
      <c r="V304" s="39"/>
      <c r="W304" s="39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35" t="s">
        <v>21</v>
      </c>
      <c r="B305" s="35" t="s">
        <v>33</v>
      </c>
      <c r="C305" s="35" t="s">
        <v>23</v>
      </c>
      <c r="D305" s="35" t="s">
        <v>34</v>
      </c>
      <c r="E305" s="35" t="s">
        <v>25</v>
      </c>
      <c r="F305" s="35" t="s">
        <v>25</v>
      </c>
      <c r="G305" s="35" t="s">
        <v>25</v>
      </c>
      <c r="H305" s="35" t="s">
        <v>25</v>
      </c>
      <c r="I305" s="55">
        <v>44743</v>
      </c>
      <c r="J305" s="56">
        <f>EFEITO!$J$305*EFEITO!$Y$305</f>
        <v>0</v>
      </c>
      <c r="K305" s="56">
        <f ca="1">EFEITO!$L$305*EFEITO!$Z$305</f>
        <v>28076.414968548383</v>
      </c>
      <c r="L305" s="56">
        <f>EFEITO!$N$305*EFEITO!$AA$305</f>
        <v>8160.2048116569895</v>
      </c>
      <c r="M305" s="56">
        <f>$J$305-EFEITO!$K$305*EFEITO!$Y$305</f>
        <v>0</v>
      </c>
      <c r="N305" s="56">
        <f ca="1">$K$305-EFEITO!$M$305*EFEITO!$Z$305</f>
        <v>0</v>
      </c>
      <c r="O305" s="56">
        <f>$L$305-EFEITO!$O$305*EFEITO!$AA$305</f>
        <v>0</v>
      </c>
      <c r="P305" s="39"/>
      <c r="Q305" s="39"/>
      <c r="R305" s="39"/>
      <c r="S305" s="39"/>
      <c r="T305" s="39"/>
      <c r="U305" s="39"/>
      <c r="V305" s="39"/>
      <c r="W305" s="39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35" t="s">
        <v>28</v>
      </c>
      <c r="B306" s="35" t="s">
        <v>33</v>
      </c>
      <c r="C306" s="35" t="s">
        <v>23</v>
      </c>
      <c r="D306" s="35" t="s">
        <v>34</v>
      </c>
      <c r="E306" s="35" t="s">
        <v>25</v>
      </c>
      <c r="F306" s="35" t="s">
        <v>25</v>
      </c>
      <c r="G306" s="35" t="s">
        <v>25</v>
      </c>
      <c r="H306" s="35" t="s">
        <v>25</v>
      </c>
      <c r="I306" s="55">
        <v>44743</v>
      </c>
      <c r="J306" s="56">
        <f>EFEITO!$J$306*EFEITO!$Y$306</f>
        <v>0</v>
      </c>
      <c r="K306" s="56">
        <f ca="1">EFEITO!$L$306*EFEITO!$Z$306</f>
        <v>22315.778536969723</v>
      </c>
      <c r="L306" s="56">
        <f>EFEITO!$N$306*EFEITO!$AA$306</f>
        <v>6485.9179349373744</v>
      </c>
      <c r="M306" s="56">
        <f>$J$306-EFEITO!$K$306*EFEITO!$Y$306</f>
        <v>0</v>
      </c>
      <c r="N306" s="56">
        <f ca="1">$K$306-EFEITO!$M$306*EFEITO!$Z$306</f>
        <v>0</v>
      </c>
      <c r="O306" s="56">
        <f>$L$306-EFEITO!$O$306*EFEITO!$AA$306</f>
        <v>0</v>
      </c>
      <c r="P306" s="39"/>
      <c r="Q306" s="39"/>
      <c r="R306" s="39"/>
      <c r="S306" s="39"/>
      <c r="T306" s="39"/>
      <c r="U306" s="39"/>
      <c r="V306" s="39"/>
      <c r="W306" s="39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35" t="s">
        <v>21</v>
      </c>
      <c r="B307" s="35" t="s">
        <v>33</v>
      </c>
      <c r="C307" s="35" t="s">
        <v>23</v>
      </c>
      <c r="D307" s="35" t="s">
        <v>34</v>
      </c>
      <c r="E307" s="35" t="s">
        <v>25</v>
      </c>
      <c r="F307" s="35" t="s">
        <v>25</v>
      </c>
      <c r="G307" s="35" t="s">
        <v>25</v>
      </c>
      <c r="H307" s="35" t="s">
        <v>25</v>
      </c>
      <c r="I307" s="55">
        <v>44774</v>
      </c>
      <c r="J307" s="56">
        <f>EFEITO!$J$307*EFEITO!$Y$307</f>
        <v>0</v>
      </c>
      <c r="K307" s="56">
        <f ca="1">EFEITO!$L$307*EFEITO!$Z$307</f>
        <v>32685.983541201022</v>
      </c>
      <c r="L307" s="56">
        <f>EFEITO!$N$307*EFEITO!$AA$307</f>
        <v>9499.9422278605834</v>
      </c>
      <c r="M307" s="56">
        <f>$J$307-EFEITO!$K$307*EFEITO!$Y$307</f>
        <v>0</v>
      </c>
      <c r="N307" s="56">
        <f ca="1">$K$307-EFEITO!$M$307*EFEITO!$Z$307</f>
        <v>0</v>
      </c>
      <c r="O307" s="56">
        <f>$L$307-EFEITO!$O$307*EFEITO!$AA$307</f>
        <v>0</v>
      </c>
      <c r="P307" s="39"/>
      <c r="Q307" s="39"/>
      <c r="R307" s="39"/>
      <c r="S307" s="39"/>
      <c r="T307" s="39"/>
      <c r="U307" s="39"/>
      <c r="V307" s="39"/>
      <c r="W307" s="39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35" t="s">
        <v>28</v>
      </c>
      <c r="B308" s="35" t="s">
        <v>33</v>
      </c>
      <c r="C308" s="35" t="s">
        <v>23</v>
      </c>
      <c r="D308" s="35" t="s">
        <v>34</v>
      </c>
      <c r="E308" s="35" t="s">
        <v>25</v>
      </c>
      <c r="F308" s="35" t="s">
        <v>25</v>
      </c>
      <c r="G308" s="35" t="s">
        <v>25</v>
      </c>
      <c r="H308" s="35" t="s">
        <v>25</v>
      </c>
      <c r="I308" s="55">
        <v>44774</v>
      </c>
      <c r="J308" s="56">
        <f>EFEITO!$J$308*EFEITO!$Y$308</f>
        <v>0</v>
      </c>
      <c r="K308" s="56">
        <f ca="1">EFEITO!$L$308*EFEITO!$Z$308</f>
        <v>23497.040076502632</v>
      </c>
      <c r="L308" s="56">
        <f>EFEITO!$N$308*EFEITO!$AA$308</f>
        <v>6829.2429680486139</v>
      </c>
      <c r="M308" s="56">
        <f>$J$308-EFEITO!$K$308*EFEITO!$Y$308</f>
        <v>0</v>
      </c>
      <c r="N308" s="56">
        <f ca="1">$K$308-EFEITO!$M$308*EFEITO!$Z$308</f>
        <v>0</v>
      </c>
      <c r="O308" s="56">
        <f>$L$308-EFEITO!$O$308*EFEITO!$AA$308</f>
        <v>0</v>
      </c>
      <c r="P308" s="39"/>
      <c r="Q308" s="39"/>
      <c r="R308" s="39"/>
      <c r="S308" s="39"/>
      <c r="T308" s="39"/>
      <c r="U308" s="39"/>
      <c r="V308" s="39"/>
      <c r="W308" s="39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35" t="s">
        <v>21</v>
      </c>
      <c r="B309" s="35" t="s">
        <v>33</v>
      </c>
      <c r="C309" s="35" t="s">
        <v>23</v>
      </c>
      <c r="D309" s="35" t="s">
        <v>42</v>
      </c>
      <c r="E309" s="35" t="s">
        <v>25</v>
      </c>
      <c r="F309" s="35" t="s">
        <v>25</v>
      </c>
      <c r="G309" s="35" t="s">
        <v>25</v>
      </c>
      <c r="H309" s="35" t="s">
        <v>25</v>
      </c>
      <c r="I309" s="55">
        <v>44440</v>
      </c>
      <c r="J309" s="56">
        <f>EFEITO!$J$309*EFEITO!$Y$309</f>
        <v>0</v>
      </c>
      <c r="K309" s="56">
        <f ca="1">EFEITO!$L$309*EFEITO!$Z$309</f>
        <v>15585.766043801275</v>
      </c>
      <c r="L309" s="56">
        <f>EFEITO!$N$309*EFEITO!$AA$309</f>
        <v>4529.8889906870099</v>
      </c>
      <c r="M309" s="56">
        <f>$J$309-EFEITO!$K$309*EFEITO!$Y$309</f>
        <v>0</v>
      </c>
      <c r="N309" s="56">
        <f ca="1">$K$309-EFEITO!$M$309*EFEITO!$Z$309</f>
        <v>0</v>
      </c>
      <c r="O309" s="56">
        <f>$L$309-EFEITO!$O$309*EFEITO!$AA$309</f>
        <v>0</v>
      </c>
      <c r="P309" s="39"/>
      <c r="Q309" s="39"/>
      <c r="R309" s="39"/>
      <c r="S309" s="39"/>
      <c r="T309" s="39"/>
      <c r="U309" s="39"/>
      <c r="V309" s="39"/>
      <c r="W309" s="39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35" t="s">
        <v>21</v>
      </c>
      <c r="B310" s="35" t="s">
        <v>33</v>
      </c>
      <c r="C310" s="35" t="s">
        <v>23</v>
      </c>
      <c r="D310" s="35" t="s">
        <v>42</v>
      </c>
      <c r="E310" s="35" t="s">
        <v>25</v>
      </c>
      <c r="F310" s="35" t="s">
        <v>25</v>
      </c>
      <c r="G310" s="35" t="s">
        <v>25</v>
      </c>
      <c r="H310" s="35" t="s">
        <v>25</v>
      </c>
      <c r="I310" s="55">
        <v>44470</v>
      </c>
      <c r="J310" s="56">
        <f>EFEITO!$J$310*EFEITO!$Y$310</f>
        <v>0</v>
      </c>
      <c r="K310" s="56">
        <f ca="1">EFEITO!$L$310*EFEITO!$Z$310</f>
        <v>13556.962592495873</v>
      </c>
      <c r="L310" s="56">
        <f>EFEITO!$N$310*EFEITO!$AA$310</f>
        <v>3940.232095253803</v>
      </c>
      <c r="M310" s="56">
        <f>$J$310-EFEITO!$K$310*EFEITO!$Y$310</f>
        <v>0</v>
      </c>
      <c r="N310" s="56">
        <f ca="1">$K$310-EFEITO!$M$310*EFEITO!$Z$310</f>
        <v>0</v>
      </c>
      <c r="O310" s="56">
        <f>$L$310-EFEITO!$O$310*EFEITO!$AA$310</f>
        <v>0</v>
      </c>
      <c r="P310" s="39"/>
      <c r="Q310" s="39"/>
      <c r="R310" s="39"/>
      <c r="S310" s="39"/>
      <c r="T310" s="39"/>
      <c r="U310" s="39"/>
      <c r="V310" s="39"/>
      <c r="W310" s="39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35" t="s">
        <v>21</v>
      </c>
      <c r="B311" s="35" t="s">
        <v>33</v>
      </c>
      <c r="C311" s="35" t="s">
        <v>23</v>
      </c>
      <c r="D311" s="35" t="s">
        <v>42</v>
      </c>
      <c r="E311" s="35" t="s">
        <v>25</v>
      </c>
      <c r="F311" s="35" t="s">
        <v>25</v>
      </c>
      <c r="G311" s="35" t="s">
        <v>25</v>
      </c>
      <c r="H311" s="35" t="s">
        <v>25</v>
      </c>
      <c r="I311" s="55">
        <v>44501</v>
      </c>
      <c r="J311" s="56">
        <f>EFEITO!$J$311*EFEITO!$Y$311</f>
        <v>0</v>
      </c>
      <c r="K311" s="56">
        <f ca="1">EFEITO!$L$311*EFEITO!$Z$311</f>
        <v>19190.46773730866</v>
      </c>
      <c r="L311" s="56">
        <f>EFEITO!$N$311*EFEITO!$AA$311</f>
        <v>5577.5691926251238</v>
      </c>
      <c r="M311" s="56">
        <f>$J$311-EFEITO!$K$311*EFEITO!$Y$311</f>
        <v>0</v>
      </c>
      <c r="N311" s="56">
        <f ca="1">$K$311-EFEITO!$M$311*EFEITO!$Z$311</f>
        <v>0</v>
      </c>
      <c r="O311" s="56">
        <f>$L$311-EFEITO!$O$311*EFEITO!$AA$311</f>
        <v>0</v>
      </c>
      <c r="P311" s="39"/>
      <c r="Q311" s="39"/>
      <c r="R311" s="39"/>
      <c r="S311" s="39"/>
      <c r="T311" s="39"/>
      <c r="U311" s="39"/>
      <c r="V311" s="39"/>
      <c r="W311" s="39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35" t="s">
        <v>21</v>
      </c>
      <c r="B312" s="35" t="s">
        <v>33</v>
      </c>
      <c r="C312" s="35" t="s">
        <v>23</v>
      </c>
      <c r="D312" s="35" t="s">
        <v>42</v>
      </c>
      <c r="E312" s="35" t="s">
        <v>25</v>
      </c>
      <c r="F312" s="35" t="s">
        <v>25</v>
      </c>
      <c r="G312" s="35" t="s">
        <v>25</v>
      </c>
      <c r="H312" s="35" t="s">
        <v>25</v>
      </c>
      <c r="I312" s="55">
        <v>44531</v>
      </c>
      <c r="J312" s="56">
        <f>EFEITO!$J$312*EFEITO!$Y$312</f>
        <v>0</v>
      </c>
      <c r="K312" s="56">
        <f ca="1">EFEITO!$L$312*EFEITO!$Z$312</f>
        <v>21225.098039257497</v>
      </c>
      <c r="L312" s="56">
        <f>EFEITO!$N$312*EFEITO!$AA$312</f>
        <v>6168.9196196117937</v>
      </c>
      <c r="M312" s="56">
        <f>$J$312-EFEITO!$K$312*EFEITO!$Y$312</f>
        <v>0</v>
      </c>
      <c r="N312" s="56">
        <f ca="1">$K$312-EFEITO!$M$312*EFEITO!$Z$312</f>
        <v>0</v>
      </c>
      <c r="O312" s="56">
        <f>$L$312-EFEITO!$O$312*EFEITO!$AA$312</f>
        <v>0</v>
      </c>
      <c r="P312" s="39"/>
      <c r="Q312" s="39"/>
      <c r="R312" s="39"/>
      <c r="S312" s="39"/>
      <c r="T312" s="39"/>
      <c r="U312" s="39"/>
      <c r="V312" s="39"/>
      <c r="W312" s="39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35" t="s">
        <v>21</v>
      </c>
      <c r="B313" s="35" t="s">
        <v>33</v>
      </c>
      <c r="C313" s="35" t="s">
        <v>23</v>
      </c>
      <c r="D313" s="35" t="s">
        <v>42</v>
      </c>
      <c r="E313" s="35" t="s">
        <v>25</v>
      </c>
      <c r="F313" s="35" t="s">
        <v>25</v>
      </c>
      <c r="G313" s="35" t="s">
        <v>25</v>
      </c>
      <c r="H313" s="35" t="s">
        <v>25</v>
      </c>
      <c r="I313" s="55">
        <v>44562</v>
      </c>
      <c r="J313" s="56">
        <f>EFEITO!$J$313*EFEITO!$Y$313</f>
        <v>0</v>
      </c>
      <c r="K313" s="56">
        <f ca="1">EFEITO!$L$313*EFEITO!$Z$313</f>
        <v>16689.159670190089</v>
      </c>
      <c r="L313" s="56">
        <f>EFEITO!$N$313*EFEITO!$AA$313</f>
        <v>4850.5822839474204</v>
      </c>
      <c r="M313" s="56">
        <f>$J$313-EFEITO!$K$313*EFEITO!$Y$313</f>
        <v>0</v>
      </c>
      <c r="N313" s="56">
        <f ca="1">$K$313-EFEITO!$M$313*EFEITO!$Z$313</f>
        <v>0</v>
      </c>
      <c r="O313" s="56">
        <f>$L$313-EFEITO!$O$313*EFEITO!$AA$313</f>
        <v>0</v>
      </c>
      <c r="P313" s="39"/>
      <c r="Q313" s="39"/>
      <c r="R313" s="39"/>
      <c r="S313" s="39"/>
      <c r="T313" s="39"/>
      <c r="U313" s="39"/>
      <c r="V313" s="39"/>
      <c r="W313" s="39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35" t="s">
        <v>21</v>
      </c>
      <c r="B314" s="35" t="s">
        <v>33</v>
      </c>
      <c r="C314" s="35" t="s">
        <v>23</v>
      </c>
      <c r="D314" s="35" t="s">
        <v>42</v>
      </c>
      <c r="E314" s="35" t="s">
        <v>25</v>
      </c>
      <c r="F314" s="35" t="s">
        <v>25</v>
      </c>
      <c r="G314" s="35" t="s">
        <v>25</v>
      </c>
      <c r="H314" s="35" t="s">
        <v>25</v>
      </c>
      <c r="I314" s="55">
        <v>44593</v>
      </c>
      <c r="J314" s="56">
        <f>EFEITO!$J$314*EFEITO!$Y$314</f>
        <v>0</v>
      </c>
      <c r="K314" s="56">
        <f ca="1">EFEITO!$L$314*EFEITO!$Z$314</f>
        <v>27250.591318265062</v>
      </c>
      <c r="L314" s="56">
        <f>EFEITO!$N$314*EFEITO!$AA$314</f>
        <v>7920.1852033070236</v>
      </c>
      <c r="M314" s="56">
        <f>$J$314-EFEITO!$K$314*EFEITO!$Y$314</f>
        <v>0</v>
      </c>
      <c r="N314" s="56">
        <f ca="1">$K$314-EFEITO!$M$314*EFEITO!$Z$314</f>
        <v>0</v>
      </c>
      <c r="O314" s="56">
        <f>$L$314-EFEITO!$O$314*EFEITO!$AA$314</f>
        <v>0</v>
      </c>
      <c r="P314" s="39"/>
      <c r="Q314" s="39"/>
      <c r="R314" s="39"/>
      <c r="S314" s="39"/>
      <c r="T314" s="39"/>
      <c r="U314" s="39"/>
      <c r="V314" s="39"/>
      <c r="W314" s="39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35" t="s">
        <v>21</v>
      </c>
      <c r="B315" s="35" t="s">
        <v>33</v>
      </c>
      <c r="C315" s="35" t="s">
        <v>23</v>
      </c>
      <c r="D315" s="35" t="s">
        <v>42</v>
      </c>
      <c r="E315" s="35" t="s">
        <v>25</v>
      </c>
      <c r="F315" s="35" t="s">
        <v>25</v>
      </c>
      <c r="G315" s="35" t="s">
        <v>25</v>
      </c>
      <c r="H315" s="35" t="s">
        <v>25</v>
      </c>
      <c r="I315" s="55">
        <v>44621</v>
      </c>
      <c r="J315" s="56">
        <f>EFEITO!$J$315*EFEITO!$Y$315</f>
        <v>0</v>
      </c>
      <c r="K315" s="56">
        <f ca="1">EFEITO!$L$315*EFEITO!$Z$315</f>
        <v>27334.81579574745</v>
      </c>
      <c r="L315" s="56">
        <f>EFEITO!$N$315*EFEITO!$AA$315</f>
        <v>7944.6644321252688</v>
      </c>
      <c r="M315" s="56">
        <f>$J$315-EFEITO!$K$315*EFEITO!$Y$315</f>
        <v>0</v>
      </c>
      <c r="N315" s="56">
        <f ca="1">$K$315-EFEITO!$M$315*EFEITO!$Z$315</f>
        <v>0</v>
      </c>
      <c r="O315" s="56">
        <f>$L$315-EFEITO!$O$315*EFEITO!$AA$315</f>
        <v>0</v>
      </c>
      <c r="P315" s="39"/>
      <c r="Q315" s="39"/>
      <c r="R315" s="39"/>
      <c r="S315" s="39"/>
      <c r="T315" s="39"/>
      <c r="U315" s="39"/>
      <c r="V315" s="39"/>
      <c r="W315" s="39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35" t="s">
        <v>21</v>
      </c>
      <c r="B316" s="35" t="s">
        <v>33</v>
      </c>
      <c r="C316" s="35" t="s">
        <v>23</v>
      </c>
      <c r="D316" s="35" t="s">
        <v>42</v>
      </c>
      <c r="E316" s="35" t="s">
        <v>25</v>
      </c>
      <c r="F316" s="35" t="s">
        <v>25</v>
      </c>
      <c r="G316" s="35" t="s">
        <v>25</v>
      </c>
      <c r="H316" s="35" t="s">
        <v>25</v>
      </c>
      <c r="I316" s="55">
        <v>44652</v>
      </c>
      <c r="J316" s="56">
        <f>EFEITO!$J$316*EFEITO!$Y$316</f>
        <v>0</v>
      </c>
      <c r="K316" s="56">
        <f ca="1">EFEITO!$L$316*EFEITO!$Z$316</f>
        <v>20047.544495588587</v>
      </c>
      <c r="L316" s="56">
        <f>EFEITO!$N$316*EFEITO!$AA$316</f>
        <v>5826.6722883982111</v>
      </c>
      <c r="M316" s="56">
        <f>$J$316-EFEITO!$K$316*EFEITO!$Y$316</f>
        <v>0</v>
      </c>
      <c r="N316" s="56">
        <f ca="1">$K$316-EFEITO!$M$316*EFEITO!$Z$316</f>
        <v>0</v>
      </c>
      <c r="O316" s="56">
        <f>$L$316-EFEITO!$O$316*EFEITO!$AA$316</f>
        <v>0</v>
      </c>
      <c r="P316" s="39"/>
      <c r="Q316" s="39"/>
      <c r="R316" s="39"/>
      <c r="S316" s="39"/>
      <c r="T316" s="39"/>
      <c r="U316" s="39"/>
      <c r="V316" s="39"/>
      <c r="W316" s="39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35" t="s">
        <v>21</v>
      </c>
      <c r="B317" s="35" t="s">
        <v>33</v>
      </c>
      <c r="C317" s="35" t="s">
        <v>23</v>
      </c>
      <c r="D317" s="35" t="s">
        <v>42</v>
      </c>
      <c r="E317" s="35" t="s">
        <v>25</v>
      </c>
      <c r="F317" s="35" t="s">
        <v>25</v>
      </c>
      <c r="G317" s="35" t="s">
        <v>25</v>
      </c>
      <c r="H317" s="35" t="s">
        <v>25</v>
      </c>
      <c r="I317" s="55">
        <v>44682</v>
      </c>
      <c r="J317" s="56">
        <f>EFEITO!$J$317*EFEITO!$Y$317</f>
        <v>0</v>
      </c>
      <c r="K317" s="56">
        <f ca="1">EFEITO!$L$317*EFEITO!$Z$317</f>
        <v>17379.906328284673</v>
      </c>
      <c r="L317" s="56">
        <f>EFEITO!$N$317*EFEITO!$AA$317</f>
        <v>5051.3427517398231</v>
      </c>
      <c r="M317" s="56">
        <f>$J$317-EFEITO!$K$317*EFEITO!$Y$317</f>
        <v>0</v>
      </c>
      <c r="N317" s="56">
        <f ca="1">$K$317-EFEITO!$M$317*EFEITO!$Z$317</f>
        <v>0</v>
      </c>
      <c r="O317" s="56">
        <f>$L$317-EFEITO!$O$317*EFEITO!$AA$317</f>
        <v>0</v>
      </c>
      <c r="P317" s="39"/>
      <c r="Q317" s="39"/>
      <c r="R317" s="39"/>
      <c r="S317" s="39"/>
      <c r="T317" s="39"/>
      <c r="U317" s="39"/>
      <c r="V317" s="39"/>
      <c r="W317" s="39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35" t="s">
        <v>21</v>
      </c>
      <c r="B318" s="35" t="s">
        <v>33</v>
      </c>
      <c r="C318" s="35" t="s">
        <v>23</v>
      </c>
      <c r="D318" s="35" t="s">
        <v>42</v>
      </c>
      <c r="E318" s="35" t="s">
        <v>25</v>
      </c>
      <c r="F318" s="35" t="s">
        <v>25</v>
      </c>
      <c r="G318" s="35" t="s">
        <v>25</v>
      </c>
      <c r="H318" s="35" t="s">
        <v>25</v>
      </c>
      <c r="I318" s="55">
        <v>44713</v>
      </c>
      <c r="J318" s="56">
        <f>EFEITO!$J$318*EFEITO!$Y$318</f>
        <v>0</v>
      </c>
      <c r="K318" s="56">
        <f ca="1">EFEITO!$L$318*EFEITO!$Z$318</f>
        <v>17315.281257512019</v>
      </c>
      <c r="L318" s="56">
        <f>EFEITO!$N$318*EFEITO!$AA$318</f>
        <v>5032.5599472377726</v>
      </c>
      <c r="M318" s="56">
        <f>$J$318-EFEITO!$K$318*EFEITO!$Y$318</f>
        <v>0</v>
      </c>
      <c r="N318" s="56">
        <f ca="1">$K$318-EFEITO!$M$318*EFEITO!$Z$318</f>
        <v>0</v>
      </c>
      <c r="O318" s="56">
        <f>$L$318-EFEITO!$O$318*EFEITO!$AA$318</f>
        <v>0</v>
      </c>
      <c r="P318" s="39"/>
      <c r="Q318" s="39"/>
      <c r="R318" s="39"/>
      <c r="S318" s="39"/>
      <c r="T318" s="39"/>
      <c r="U318" s="39"/>
      <c r="V318" s="39"/>
      <c r="W318" s="39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35" t="s">
        <v>21</v>
      </c>
      <c r="B319" s="35" t="s">
        <v>33</v>
      </c>
      <c r="C319" s="35" t="s">
        <v>23</v>
      </c>
      <c r="D319" s="35" t="s">
        <v>42</v>
      </c>
      <c r="E319" s="35" t="s">
        <v>25</v>
      </c>
      <c r="F319" s="35" t="s">
        <v>25</v>
      </c>
      <c r="G319" s="35" t="s">
        <v>25</v>
      </c>
      <c r="H319" s="35" t="s">
        <v>25</v>
      </c>
      <c r="I319" s="55">
        <v>44743</v>
      </c>
      <c r="J319" s="56">
        <f>EFEITO!$J$319*EFEITO!$Y$319</f>
        <v>0</v>
      </c>
      <c r="K319" s="56">
        <f ca="1">EFEITO!$L$319*EFEITO!$Z$319</f>
        <v>15700.184201890563</v>
      </c>
      <c r="L319" s="56">
        <f>EFEITO!$N$319*EFEITO!$AA$319</f>
        <v>4563.1437921004754</v>
      </c>
      <c r="M319" s="56">
        <f>$J$319-EFEITO!$K$319*EFEITO!$Y$319</f>
        <v>0</v>
      </c>
      <c r="N319" s="56">
        <f ca="1">$K$319-EFEITO!$M$319*EFEITO!$Z$319</f>
        <v>0</v>
      </c>
      <c r="O319" s="56">
        <f>$L$319-EFEITO!$O$319*EFEITO!$AA$319</f>
        <v>0</v>
      </c>
      <c r="P319" s="39"/>
      <c r="Q319" s="39"/>
      <c r="R319" s="39"/>
      <c r="S319" s="39"/>
      <c r="T319" s="39"/>
      <c r="U319" s="39"/>
      <c r="V319" s="39"/>
      <c r="W319" s="39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35" t="s">
        <v>21</v>
      </c>
      <c r="B320" s="35" t="s">
        <v>33</v>
      </c>
      <c r="C320" s="35" t="s">
        <v>23</v>
      </c>
      <c r="D320" s="35" t="s">
        <v>42</v>
      </c>
      <c r="E320" s="35" t="s">
        <v>25</v>
      </c>
      <c r="F320" s="35" t="s">
        <v>25</v>
      </c>
      <c r="G320" s="35" t="s">
        <v>25</v>
      </c>
      <c r="H320" s="35" t="s">
        <v>25</v>
      </c>
      <c r="I320" s="55">
        <v>44774</v>
      </c>
      <c r="J320" s="56">
        <f>EFEITO!$J$320*EFEITO!$Y$320</f>
        <v>0</v>
      </c>
      <c r="K320" s="56">
        <f ca="1">EFEITO!$L$320*EFEITO!$Z$320</f>
        <v>16386.163436731425</v>
      </c>
      <c r="L320" s="56">
        <f>EFEITO!$N$320*EFEITO!$AA$320</f>
        <v>4762.5186431673174</v>
      </c>
      <c r="M320" s="56">
        <f>$J$320-EFEITO!$K$320*EFEITO!$Y$320</f>
        <v>0</v>
      </c>
      <c r="N320" s="56">
        <f ca="1">$K$320-EFEITO!$M$320*EFEITO!$Z$320</f>
        <v>0</v>
      </c>
      <c r="O320" s="56">
        <f>$L$320-EFEITO!$O$320*EFEITO!$AA$320</f>
        <v>0</v>
      </c>
      <c r="P320" s="39"/>
      <c r="Q320" s="39"/>
      <c r="R320" s="39"/>
      <c r="S320" s="39"/>
      <c r="T320" s="39"/>
      <c r="U320" s="39"/>
      <c r="V320" s="39"/>
      <c r="W320" s="39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35" t="s">
        <v>21</v>
      </c>
      <c r="B321" s="35" t="s">
        <v>33</v>
      </c>
      <c r="C321" s="35" t="s">
        <v>23</v>
      </c>
      <c r="D321" s="35" t="s">
        <v>47</v>
      </c>
      <c r="E321" s="35" t="s">
        <v>48</v>
      </c>
      <c r="F321" s="35" t="s">
        <v>25</v>
      </c>
      <c r="G321" s="35" t="s">
        <v>25</v>
      </c>
      <c r="H321" s="35" t="s">
        <v>25</v>
      </c>
      <c r="I321" s="55">
        <v>44440</v>
      </c>
      <c r="J321" s="56">
        <f>EFEITO!$J$321*EFEITO!$Y$320</f>
        <v>0</v>
      </c>
      <c r="K321" s="56">
        <f ca="1">EFEITO!$L$321*EFEITO!$Z$320</f>
        <v>4043.8343465445041</v>
      </c>
      <c r="L321" s="56">
        <f>EFEITO!$N$321*EFEITO!$AA$320</f>
        <v>1175.3108981036821</v>
      </c>
      <c r="M321" s="56">
        <f>$J$321-EFEITO!$K$321*EFEITO!$Y$321</f>
        <v>0</v>
      </c>
      <c r="N321" s="56">
        <f ca="1">$K$321-EFEITO!$M$321*EFEITO!$Z$321</f>
        <v>121.31503039633571</v>
      </c>
      <c r="O321" s="56">
        <f>$L$321-EFEITO!$O$321*EFEITO!$AA$321</f>
        <v>35.259326943110409</v>
      </c>
      <c r="P321" s="39"/>
      <c r="Q321" s="39"/>
      <c r="R321" s="39"/>
      <c r="S321" s="39"/>
      <c r="T321" s="39"/>
      <c r="U321" s="39"/>
      <c r="V321" s="39"/>
      <c r="W321" s="39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35" t="s">
        <v>21</v>
      </c>
      <c r="B322" s="35" t="s">
        <v>33</v>
      </c>
      <c r="C322" s="35" t="s">
        <v>23</v>
      </c>
      <c r="D322" s="35" t="s">
        <v>47</v>
      </c>
      <c r="E322" s="35" t="s">
        <v>48</v>
      </c>
      <c r="F322" s="35" t="s">
        <v>25</v>
      </c>
      <c r="G322" s="35" t="s">
        <v>25</v>
      </c>
      <c r="H322" s="35" t="s">
        <v>25</v>
      </c>
      <c r="I322" s="55">
        <v>44470</v>
      </c>
      <c r="J322" s="56">
        <f>EFEITO!$J$322*EFEITO!$Y$320</f>
        <v>0</v>
      </c>
      <c r="K322" s="56">
        <f ca="1">EFEITO!$L$322*EFEITO!$Z$320</f>
        <v>3863.2019765979917</v>
      </c>
      <c r="L322" s="56">
        <f>EFEITO!$N$322*EFEITO!$AA$320</f>
        <v>1122.811419946313</v>
      </c>
      <c r="M322" s="56">
        <f>$J$322-EFEITO!$K$322*EFEITO!$Y$322</f>
        <v>0</v>
      </c>
      <c r="N322" s="56">
        <f ca="1">$K$322-EFEITO!$M$322*EFEITO!$Z$322</f>
        <v>115.89605929794016</v>
      </c>
      <c r="O322" s="56">
        <f>$L$322-EFEITO!$O$322*EFEITO!$AA$322</f>
        <v>33.684342598389321</v>
      </c>
      <c r="P322" s="39"/>
      <c r="Q322" s="39"/>
      <c r="R322" s="39"/>
      <c r="S322" s="39"/>
      <c r="T322" s="39"/>
      <c r="U322" s="39"/>
      <c r="V322" s="39"/>
      <c r="W322" s="39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35" t="s">
        <v>21</v>
      </c>
      <c r="B323" s="35" t="s">
        <v>33</v>
      </c>
      <c r="C323" s="35" t="s">
        <v>23</v>
      </c>
      <c r="D323" s="35" t="s">
        <v>47</v>
      </c>
      <c r="E323" s="35" t="s">
        <v>48</v>
      </c>
      <c r="F323" s="35" t="s">
        <v>25</v>
      </c>
      <c r="G323" s="35" t="s">
        <v>25</v>
      </c>
      <c r="H323" s="35" t="s">
        <v>25</v>
      </c>
      <c r="I323" s="55">
        <v>44501</v>
      </c>
      <c r="J323" s="56">
        <f>EFEITO!$J$323*EFEITO!$Y$320</f>
        <v>0</v>
      </c>
      <c r="K323" s="56">
        <f ca="1">EFEITO!$L$323*EFEITO!$Z$320</f>
        <v>3667.2079095006029</v>
      </c>
      <c r="L323" s="56">
        <f>EFEITO!$N$323*EFEITO!$AA$320</f>
        <v>1065.8471767843582</v>
      </c>
      <c r="M323" s="56">
        <f>$J$323-EFEITO!$K$323*EFEITO!$Y$323</f>
        <v>0</v>
      </c>
      <c r="N323" s="56">
        <f ca="1">$K$323-EFEITO!$M$323*EFEITO!$Z$323</f>
        <v>110.01623728501863</v>
      </c>
      <c r="O323" s="56">
        <f>$L$323-EFEITO!$O$323*EFEITO!$AA$323</f>
        <v>31.975415303530781</v>
      </c>
      <c r="P323" s="39"/>
      <c r="Q323" s="39"/>
      <c r="R323" s="39"/>
      <c r="S323" s="39"/>
      <c r="T323" s="39"/>
      <c r="U323" s="39"/>
      <c r="V323" s="39"/>
      <c r="W323" s="39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35" t="s">
        <v>21</v>
      </c>
      <c r="B324" s="35" t="s">
        <v>33</v>
      </c>
      <c r="C324" s="35" t="s">
        <v>23</v>
      </c>
      <c r="D324" s="35" t="s">
        <v>47</v>
      </c>
      <c r="E324" s="35" t="s">
        <v>48</v>
      </c>
      <c r="F324" s="35" t="s">
        <v>25</v>
      </c>
      <c r="G324" s="35" t="s">
        <v>25</v>
      </c>
      <c r="H324" s="35" t="s">
        <v>25</v>
      </c>
      <c r="I324" s="55">
        <v>44531</v>
      </c>
      <c r="J324" s="56">
        <f>EFEITO!$J$324*EFEITO!$Y$320</f>
        <v>0</v>
      </c>
      <c r="K324" s="56">
        <f ca="1">EFEITO!$L$324*EFEITO!$Z$320</f>
        <v>4014.7000933273243</v>
      </c>
      <c r="L324" s="56">
        <f>EFEITO!$N$324*EFEITO!$AA$320</f>
        <v>1166.8432403363643</v>
      </c>
      <c r="M324" s="56">
        <f>$J$324-EFEITO!$K$324*EFEITO!$Y$324</f>
        <v>0</v>
      </c>
      <c r="N324" s="56">
        <f ca="1">$K$324-EFEITO!$M$324*EFEITO!$Z$324</f>
        <v>120.44100279982013</v>
      </c>
      <c r="O324" s="56">
        <f>$L$324-EFEITO!$O$324*EFEITO!$AA$324</f>
        <v>35.005297210090703</v>
      </c>
      <c r="P324" s="39"/>
      <c r="Q324" s="39"/>
      <c r="R324" s="39"/>
      <c r="S324" s="39"/>
      <c r="T324" s="39"/>
      <c r="U324" s="39"/>
      <c r="V324" s="39"/>
      <c r="W324" s="39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35" t="s">
        <v>21</v>
      </c>
      <c r="B325" s="35" t="s">
        <v>33</v>
      </c>
      <c r="C325" s="35" t="s">
        <v>23</v>
      </c>
      <c r="D325" s="35" t="s">
        <v>47</v>
      </c>
      <c r="E325" s="35" t="s">
        <v>48</v>
      </c>
      <c r="F325" s="35" t="s">
        <v>25</v>
      </c>
      <c r="G325" s="35" t="s">
        <v>25</v>
      </c>
      <c r="H325" s="35" t="s">
        <v>25</v>
      </c>
      <c r="I325" s="55">
        <v>44562</v>
      </c>
      <c r="J325" s="56">
        <f>EFEITO!$J$325*EFEITO!$Y$320</f>
        <v>0</v>
      </c>
      <c r="K325" s="56">
        <f ca="1">EFEITO!$L$325*EFEITO!$Z$320</f>
        <v>6775.5678709262183</v>
      </c>
      <c r="L325" s="56">
        <f>EFEITO!$N$325*EFEITO!$AA$320</f>
        <v>1969.2692818501698</v>
      </c>
      <c r="M325" s="56">
        <f>$J$325-EFEITO!$K$325*EFEITO!$Y$325</f>
        <v>0</v>
      </c>
      <c r="N325" s="56">
        <f ca="1">$K$325-EFEITO!$M$325*EFEITO!$Z$325</f>
        <v>203.26703612778692</v>
      </c>
      <c r="O325" s="56">
        <f>$L$325-EFEITO!$O$325*EFEITO!$AA$325</f>
        <v>59.078078455504965</v>
      </c>
      <c r="P325" s="39"/>
      <c r="Q325" s="39"/>
      <c r="R325" s="39"/>
      <c r="S325" s="39"/>
      <c r="T325" s="39"/>
      <c r="U325" s="39"/>
      <c r="V325" s="39"/>
      <c r="W325" s="39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35" t="s">
        <v>21</v>
      </c>
      <c r="B326" s="35" t="s">
        <v>33</v>
      </c>
      <c r="C326" s="35" t="s">
        <v>23</v>
      </c>
      <c r="D326" s="35" t="s">
        <v>47</v>
      </c>
      <c r="E326" s="35" t="s">
        <v>48</v>
      </c>
      <c r="F326" s="35" t="s">
        <v>25</v>
      </c>
      <c r="G326" s="35" t="s">
        <v>25</v>
      </c>
      <c r="H326" s="35" t="s">
        <v>25</v>
      </c>
      <c r="I326" s="55">
        <v>44593</v>
      </c>
      <c r="J326" s="56">
        <f>EFEITO!$J$326*EFEITO!$Y$320</f>
        <v>0</v>
      </c>
      <c r="K326" s="56">
        <f ca="1">EFEITO!$L$326*EFEITO!$Z$320</f>
        <v>4456.4813148387366</v>
      </c>
      <c r="L326" s="56">
        <f>EFEITO!$N$326*EFEITO!$AA$320</f>
        <v>1295.2437235716893</v>
      </c>
      <c r="M326" s="56">
        <f>$J$326-EFEITO!$K$326*EFEITO!$Y$326</f>
        <v>0</v>
      </c>
      <c r="N326" s="56">
        <f ca="1">$K$326-EFEITO!$M$326*EFEITO!$Z$326</f>
        <v>133.69443944516297</v>
      </c>
      <c r="O326" s="56">
        <f>$L$326-EFEITO!$O$326*EFEITO!$AA$326</f>
        <v>38.857311707150529</v>
      </c>
      <c r="P326" s="39"/>
      <c r="Q326" s="39"/>
      <c r="R326" s="39"/>
      <c r="S326" s="39"/>
      <c r="T326" s="39"/>
      <c r="U326" s="39"/>
      <c r="V326" s="39"/>
      <c r="W326" s="39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35" t="s">
        <v>21</v>
      </c>
      <c r="B327" s="35" t="s">
        <v>33</v>
      </c>
      <c r="C327" s="35" t="s">
        <v>23</v>
      </c>
      <c r="D327" s="35" t="s">
        <v>47</v>
      </c>
      <c r="E327" s="35" t="s">
        <v>48</v>
      </c>
      <c r="F327" s="35" t="s">
        <v>25</v>
      </c>
      <c r="G327" s="35" t="s">
        <v>25</v>
      </c>
      <c r="H327" s="35" t="s">
        <v>25</v>
      </c>
      <c r="I327" s="55">
        <v>44621</v>
      </c>
      <c r="J327" s="56">
        <f>EFEITO!$J$327*EFEITO!$Y$320</f>
        <v>0</v>
      </c>
      <c r="K327" s="56">
        <f ca="1">EFEITO!$L$327*EFEITO!$Z$320</f>
        <v>3571.3297307313396</v>
      </c>
      <c r="L327" s="56">
        <f>EFEITO!$N$327*EFEITO!$AA$320</f>
        <v>1037.9808848591858</v>
      </c>
      <c r="M327" s="56">
        <f>$J$327-EFEITO!$K$327*EFEITO!$Y$327</f>
        <v>0</v>
      </c>
      <c r="N327" s="56">
        <f ca="1">$K$327-EFEITO!$M$327*EFEITO!$Z$327</f>
        <v>107.13989192194094</v>
      </c>
      <c r="O327" s="56">
        <f>$L$327-EFEITO!$O$327*EFEITO!$AA$327</f>
        <v>31.139426545775677</v>
      </c>
      <c r="P327" s="39"/>
      <c r="Q327" s="39"/>
      <c r="R327" s="39"/>
      <c r="S327" s="39"/>
      <c r="T327" s="39"/>
      <c r="U327" s="39"/>
      <c r="V327" s="39"/>
      <c r="W327" s="39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35" t="s">
        <v>21</v>
      </c>
      <c r="B328" s="35" t="s">
        <v>33</v>
      </c>
      <c r="C328" s="35" t="s">
        <v>23</v>
      </c>
      <c r="D328" s="35" t="s">
        <v>47</v>
      </c>
      <c r="E328" s="35" t="s">
        <v>48</v>
      </c>
      <c r="F328" s="35" t="s">
        <v>25</v>
      </c>
      <c r="G328" s="35" t="s">
        <v>25</v>
      </c>
      <c r="H328" s="35" t="s">
        <v>25</v>
      </c>
      <c r="I328" s="55">
        <v>44652</v>
      </c>
      <c r="J328" s="56">
        <f>EFEITO!$J$328*EFEITO!$Y$320</f>
        <v>0</v>
      </c>
      <c r="K328" s="56">
        <f ca="1">EFEITO!$L$328*EFEITO!$Z$320</f>
        <v>3614.2365400148219</v>
      </c>
      <c r="L328" s="56">
        <f>EFEITO!$N$328*EFEITO!$AA$320</f>
        <v>1050.4514353892353</v>
      </c>
      <c r="M328" s="56">
        <f>$J$328-EFEITO!$K$328*EFEITO!$Y$328</f>
        <v>0</v>
      </c>
      <c r="N328" s="56">
        <f ca="1">$K$328-EFEITO!$M$328*EFEITO!$Z$328</f>
        <v>108.42709620044479</v>
      </c>
      <c r="O328" s="56">
        <f>$L$328-EFEITO!$O$328*EFEITO!$AA$328</f>
        <v>31.513543061676955</v>
      </c>
      <c r="P328" s="39"/>
      <c r="Q328" s="39"/>
      <c r="R328" s="39"/>
      <c r="S328" s="39"/>
      <c r="T328" s="39"/>
      <c r="U328" s="39"/>
      <c r="V328" s="39"/>
      <c r="W328" s="39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35" t="s">
        <v>21</v>
      </c>
      <c r="B329" s="35" t="s">
        <v>33</v>
      </c>
      <c r="C329" s="35" t="s">
        <v>23</v>
      </c>
      <c r="D329" s="35" t="s">
        <v>47</v>
      </c>
      <c r="E329" s="35" t="s">
        <v>48</v>
      </c>
      <c r="F329" s="35" t="s">
        <v>25</v>
      </c>
      <c r="G329" s="35" t="s">
        <v>25</v>
      </c>
      <c r="H329" s="35" t="s">
        <v>25</v>
      </c>
      <c r="I329" s="55">
        <v>44682</v>
      </c>
      <c r="J329" s="56">
        <f>EFEITO!$J$329*EFEITO!$Y$320</f>
        <v>0</v>
      </c>
      <c r="K329" s="56">
        <f ca="1">EFEITO!$L$329*EFEITO!$Z$320</f>
        <v>6103.8909058465179</v>
      </c>
      <c r="L329" s="56">
        <f>EFEITO!$N$329*EFEITO!$AA$320</f>
        <v>1774.0512809600114</v>
      </c>
      <c r="M329" s="56">
        <f>$J$329-EFEITO!$K$329*EFEITO!$Y$329</f>
        <v>0</v>
      </c>
      <c r="N329" s="56">
        <f ca="1">$K$329-EFEITO!$M$329*EFEITO!$Z$329</f>
        <v>183.11672717539659</v>
      </c>
      <c r="O329" s="56">
        <f>$L$329-EFEITO!$O$329*EFEITO!$AA$329</f>
        <v>53.221538428800159</v>
      </c>
      <c r="P329" s="39"/>
      <c r="Q329" s="39"/>
      <c r="R329" s="39"/>
      <c r="S329" s="39"/>
      <c r="T329" s="39"/>
      <c r="U329" s="39"/>
      <c r="V329" s="39"/>
      <c r="W329" s="39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35" t="s">
        <v>21</v>
      </c>
      <c r="B330" s="35" t="s">
        <v>33</v>
      </c>
      <c r="C330" s="35" t="s">
        <v>23</v>
      </c>
      <c r="D330" s="35" t="s">
        <v>47</v>
      </c>
      <c r="E330" s="35" t="s">
        <v>48</v>
      </c>
      <c r="F330" s="35" t="s">
        <v>25</v>
      </c>
      <c r="G330" s="35" t="s">
        <v>25</v>
      </c>
      <c r="H330" s="35" t="s">
        <v>25</v>
      </c>
      <c r="I330" s="55">
        <v>44713</v>
      </c>
      <c r="J330" s="56">
        <f>EFEITO!$J$330*EFEITO!$Y$320</f>
        <v>0</v>
      </c>
      <c r="K330" s="56">
        <f ca="1">EFEITO!$L$330*EFEITO!$Z$320</f>
        <v>2911.8361806333687</v>
      </c>
      <c r="L330" s="56">
        <f>EFEITO!$N$330*EFEITO!$AA$320</f>
        <v>846.30390448990568</v>
      </c>
      <c r="M330" s="56">
        <f>$J$330-EFEITO!$K$330*EFEITO!$Y$330</f>
        <v>0</v>
      </c>
      <c r="N330" s="56">
        <f ca="1">$K$330-EFEITO!$M$330*EFEITO!$Z$330</f>
        <v>87.355085419001171</v>
      </c>
      <c r="O330" s="56">
        <f>$L$330-EFEITO!$O$330*EFEITO!$AA$330</f>
        <v>25.38911713469713</v>
      </c>
      <c r="P330" s="39"/>
      <c r="Q330" s="39"/>
      <c r="R330" s="39"/>
      <c r="S330" s="39"/>
      <c r="T330" s="39"/>
      <c r="U330" s="39"/>
      <c r="V330" s="39"/>
      <c r="W330" s="39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35" t="s">
        <v>21</v>
      </c>
      <c r="B331" s="35" t="s">
        <v>33</v>
      </c>
      <c r="C331" s="35" t="s">
        <v>23</v>
      </c>
      <c r="D331" s="35" t="s">
        <v>47</v>
      </c>
      <c r="E331" s="35" t="s">
        <v>48</v>
      </c>
      <c r="F331" s="35" t="s">
        <v>25</v>
      </c>
      <c r="G331" s="35" t="s">
        <v>25</v>
      </c>
      <c r="H331" s="35" t="s">
        <v>25</v>
      </c>
      <c r="I331" s="55">
        <v>44743</v>
      </c>
      <c r="J331" s="56">
        <f>EFEITO!$J$331*EFEITO!$Y$320</f>
        <v>0</v>
      </c>
      <c r="K331" s="56">
        <f ca="1">EFEITO!$L$331*EFEITO!$Z$320</f>
        <v>3692.1044531589196</v>
      </c>
      <c r="L331" s="56">
        <f>EFEITO!$N$331*EFEITO!$AA$320</f>
        <v>1073.0831752400659</v>
      </c>
      <c r="M331" s="56">
        <f>$J$331-EFEITO!$K$331*EFEITO!$Y$331</f>
        <v>0</v>
      </c>
      <c r="N331" s="56">
        <f ca="1">$K$331-EFEITO!$M$331*EFEITO!$Z$331</f>
        <v>110.76313359476808</v>
      </c>
      <c r="O331" s="56">
        <f>$L$331-EFEITO!$O$331*EFEITO!$AA$331</f>
        <v>32.192495257201927</v>
      </c>
      <c r="P331" s="39"/>
      <c r="Q331" s="39"/>
      <c r="R331" s="39"/>
      <c r="S331" s="39"/>
      <c r="T331" s="39"/>
      <c r="U331" s="39"/>
      <c r="V331" s="39"/>
      <c r="W331" s="39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35" t="s">
        <v>21</v>
      </c>
      <c r="B332" s="35" t="s">
        <v>33</v>
      </c>
      <c r="C332" s="35" t="s">
        <v>23</v>
      </c>
      <c r="D332" s="35" t="s">
        <v>47</v>
      </c>
      <c r="E332" s="35" t="s">
        <v>48</v>
      </c>
      <c r="F332" s="35" t="s">
        <v>25</v>
      </c>
      <c r="G332" s="35" t="s">
        <v>25</v>
      </c>
      <c r="H332" s="35" t="s">
        <v>25</v>
      </c>
      <c r="I332" s="55">
        <v>44774</v>
      </c>
      <c r="J332" s="56">
        <f>EFEITO!$J$332*EFEITO!$Y$320</f>
        <v>0</v>
      </c>
      <c r="K332" s="56">
        <f ca="1">EFEITO!$L$332*EFEITO!$Z$320</f>
        <v>5302.9637992215121</v>
      </c>
      <c r="L332" s="56">
        <f>EFEITO!$N$332*EFEITO!$AA$320</f>
        <v>1541.2676710657531</v>
      </c>
      <c r="M332" s="56">
        <f>$J$332-EFEITO!$K$332*EFEITO!$Y$332</f>
        <v>0</v>
      </c>
      <c r="N332" s="56">
        <f ca="1">$K$332-EFEITO!$M$332*EFEITO!$Z$332</f>
        <v>159.08891397664593</v>
      </c>
      <c r="O332" s="56">
        <f>$L$332-EFEITO!$O$332*EFEITO!$AA$332</f>
        <v>46.238030131972437</v>
      </c>
      <c r="P332" s="39"/>
      <c r="Q332" s="39"/>
      <c r="R332" s="39"/>
      <c r="S332" s="39"/>
      <c r="T332" s="39"/>
      <c r="U332" s="39"/>
      <c r="V332" s="39"/>
      <c r="W332" s="39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35" t="s">
        <v>21</v>
      </c>
      <c r="B333" s="35" t="s">
        <v>43</v>
      </c>
      <c r="C333" s="35" t="s">
        <v>23</v>
      </c>
      <c r="D333" s="35" t="s">
        <v>44</v>
      </c>
      <c r="E333" s="35" t="s">
        <v>45</v>
      </c>
      <c r="F333" s="35" t="s">
        <v>25</v>
      </c>
      <c r="G333" s="35" t="s">
        <v>25</v>
      </c>
      <c r="H333" s="35" t="s">
        <v>25</v>
      </c>
      <c r="I333" s="55">
        <v>44440</v>
      </c>
      <c r="J333" s="56">
        <f>EFEITO!$J$333*EFEITO!$Y$333</f>
        <v>0</v>
      </c>
      <c r="K333" s="56">
        <f ca="1">EFEITO!$L$333*EFEITO!$Z$333</f>
        <v>46505.843040454827</v>
      </c>
      <c r="L333" s="56">
        <f>EFEITO!$N$333*EFEITO!$AA$333</f>
        <v>13516.583387658384</v>
      </c>
      <c r="M333" s="56">
        <f>$J$333-EFEITO!$K$333*EFEITO!$Y$333</f>
        <v>0</v>
      </c>
      <c r="N333" s="56">
        <f ca="1">$K$333-EFEITO!$M$333*EFEITO!$Z$333</f>
        <v>0</v>
      </c>
      <c r="O333" s="56">
        <f>$L$333-EFEITO!$O$333*EFEITO!$AA$333</f>
        <v>0</v>
      </c>
      <c r="P333" s="39"/>
      <c r="Q333" s="39"/>
      <c r="R333" s="39"/>
      <c r="S333" s="39"/>
      <c r="T333" s="39"/>
      <c r="U333" s="39"/>
      <c r="V333" s="39"/>
      <c r="W333" s="39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35" t="s">
        <v>21</v>
      </c>
      <c r="B334" s="35" t="s">
        <v>43</v>
      </c>
      <c r="C334" s="35" t="s">
        <v>23</v>
      </c>
      <c r="D334" s="35" t="s">
        <v>44</v>
      </c>
      <c r="E334" s="35" t="s">
        <v>45</v>
      </c>
      <c r="F334" s="35" t="s">
        <v>25</v>
      </c>
      <c r="G334" s="35" t="s">
        <v>25</v>
      </c>
      <c r="H334" s="35" t="s">
        <v>25</v>
      </c>
      <c r="I334" s="55">
        <v>44470</v>
      </c>
      <c r="J334" s="56">
        <f>EFEITO!$J$334*EFEITO!$Y$334</f>
        <v>0</v>
      </c>
      <c r="K334" s="56">
        <f ca="1">EFEITO!$L$334*EFEITO!$Z$334</f>
        <v>48459.586061198876</v>
      </c>
      <c r="L334" s="56">
        <f>EFEITO!$N$334*EFEITO!$AA$334</f>
        <v>14084.4245175347</v>
      </c>
      <c r="M334" s="56">
        <f>$J$334-EFEITO!$K$334*EFEITO!$Y$334</f>
        <v>0</v>
      </c>
      <c r="N334" s="56">
        <f ca="1">$K$334-EFEITO!$M$334*EFEITO!$Z$334</f>
        <v>0</v>
      </c>
      <c r="O334" s="56">
        <f>$L$334-EFEITO!$O$334*EFEITO!$AA$334</f>
        <v>0</v>
      </c>
      <c r="P334" s="39"/>
      <c r="Q334" s="39"/>
      <c r="R334" s="39"/>
      <c r="S334" s="39"/>
      <c r="T334" s="39"/>
      <c r="U334" s="39"/>
      <c r="V334" s="39"/>
      <c r="W334" s="39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35" t="s">
        <v>21</v>
      </c>
      <c r="B335" s="35" t="s">
        <v>43</v>
      </c>
      <c r="C335" s="35" t="s">
        <v>23</v>
      </c>
      <c r="D335" s="35" t="s">
        <v>44</v>
      </c>
      <c r="E335" s="35" t="s">
        <v>45</v>
      </c>
      <c r="F335" s="35" t="s">
        <v>25</v>
      </c>
      <c r="G335" s="35" t="s">
        <v>25</v>
      </c>
      <c r="H335" s="35" t="s">
        <v>25</v>
      </c>
      <c r="I335" s="55">
        <v>44501</v>
      </c>
      <c r="J335" s="56">
        <f>EFEITO!$J$335*EFEITO!$Y$335</f>
        <v>0</v>
      </c>
      <c r="K335" s="56">
        <f ca="1">EFEITO!$L$335*EFEITO!$Z$335</f>
        <v>47001.416687679048</v>
      </c>
      <c r="L335" s="56">
        <f>EFEITO!$N$335*EFEITO!$AA$335</f>
        <v>13660.618246280455</v>
      </c>
      <c r="M335" s="56">
        <f>$J$335-EFEITO!$K$335*EFEITO!$Y$335</f>
        <v>0</v>
      </c>
      <c r="N335" s="56">
        <f ca="1">$K$335-EFEITO!$M$335*EFEITO!$Z$335</f>
        <v>0</v>
      </c>
      <c r="O335" s="56">
        <f>$L$335-EFEITO!$O$335*EFEITO!$AA$335</f>
        <v>0</v>
      </c>
      <c r="P335" s="39"/>
      <c r="Q335" s="39"/>
      <c r="R335" s="39"/>
      <c r="S335" s="39"/>
      <c r="T335" s="39"/>
      <c r="U335" s="39"/>
      <c r="V335" s="39"/>
      <c r="W335" s="39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35" t="s">
        <v>21</v>
      </c>
      <c r="B336" s="35" t="s">
        <v>43</v>
      </c>
      <c r="C336" s="35" t="s">
        <v>23</v>
      </c>
      <c r="D336" s="35" t="s">
        <v>44</v>
      </c>
      <c r="E336" s="35" t="s">
        <v>45</v>
      </c>
      <c r="F336" s="35" t="s">
        <v>25</v>
      </c>
      <c r="G336" s="35" t="s">
        <v>25</v>
      </c>
      <c r="H336" s="35" t="s">
        <v>25</v>
      </c>
      <c r="I336" s="55">
        <v>44531</v>
      </c>
      <c r="J336" s="56">
        <f>EFEITO!$J$336*EFEITO!$Y$336</f>
        <v>0</v>
      </c>
      <c r="K336" s="56">
        <f ca="1">EFEITO!$L$336*EFEITO!$Z$336</f>
        <v>48134.739137827331</v>
      </c>
      <c r="L336" s="56">
        <f>EFEITO!$N$336*EFEITO!$AA$336</f>
        <v>13990.01013342911</v>
      </c>
      <c r="M336" s="56">
        <f>$J$336-EFEITO!$K$336*EFEITO!$Y$336</f>
        <v>0</v>
      </c>
      <c r="N336" s="56">
        <f ca="1">$K$336-EFEITO!$M$336*EFEITO!$Z$336</f>
        <v>0</v>
      </c>
      <c r="O336" s="56">
        <f>$L$336-EFEITO!$O$336*EFEITO!$AA$336</f>
        <v>0</v>
      </c>
      <c r="P336" s="39"/>
      <c r="Q336" s="39"/>
      <c r="R336" s="39"/>
      <c r="S336" s="39"/>
      <c r="T336" s="39"/>
      <c r="U336" s="39"/>
      <c r="V336" s="39"/>
      <c r="W336" s="39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35" t="s">
        <v>21</v>
      </c>
      <c r="B337" s="35" t="s">
        <v>43</v>
      </c>
      <c r="C337" s="35" t="s">
        <v>23</v>
      </c>
      <c r="D337" s="35" t="s">
        <v>44</v>
      </c>
      <c r="E337" s="35" t="s">
        <v>45</v>
      </c>
      <c r="F337" s="35" t="s">
        <v>25</v>
      </c>
      <c r="G337" s="35" t="s">
        <v>25</v>
      </c>
      <c r="H337" s="35" t="s">
        <v>25</v>
      </c>
      <c r="I337" s="55">
        <v>44562</v>
      </c>
      <c r="J337" s="56">
        <f>EFEITO!$J$337*EFEITO!$Y$337</f>
        <v>0</v>
      </c>
      <c r="K337" s="56">
        <f ca="1">EFEITO!$L$337*EFEITO!$Z$337</f>
        <v>48658.573010672211</v>
      </c>
      <c r="L337" s="56">
        <f>EFEITO!$N$337*EFEITO!$AA$337</f>
        <v>14142.258620085478</v>
      </c>
      <c r="M337" s="56">
        <f>$J$337-EFEITO!$K$337*EFEITO!$Y$337</f>
        <v>0</v>
      </c>
      <c r="N337" s="56">
        <f ca="1">$K$337-EFEITO!$M$337*EFEITO!$Z$337</f>
        <v>0</v>
      </c>
      <c r="O337" s="56">
        <f>$L$337-EFEITO!$O$337*EFEITO!$AA$337</f>
        <v>0</v>
      </c>
      <c r="P337" s="39"/>
      <c r="Q337" s="39"/>
      <c r="R337" s="39"/>
      <c r="S337" s="39"/>
      <c r="T337" s="39"/>
      <c r="U337" s="39"/>
      <c r="V337" s="39"/>
      <c r="W337" s="39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35" t="s">
        <v>21</v>
      </c>
      <c r="B338" s="35" t="s">
        <v>43</v>
      </c>
      <c r="C338" s="35" t="s">
        <v>23</v>
      </c>
      <c r="D338" s="35" t="s">
        <v>44</v>
      </c>
      <c r="E338" s="35" t="s">
        <v>45</v>
      </c>
      <c r="F338" s="35" t="s">
        <v>25</v>
      </c>
      <c r="G338" s="35" t="s">
        <v>25</v>
      </c>
      <c r="H338" s="35" t="s">
        <v>25</v>
      </c>
      <c r="I338" s="55">
        <v>44593</v>
      </c>
      <c r="J338" s="56">
        <f>EFEITO!$J$338*EFEITO!$Y$338</f>
        <v>0</v>
      </c>
      <c r="K338" s="56">
        <f ca="1">EFEITO!$L$338*EFEITO!$Z$338</f>
        <v>43448.494507844021</v>
      </c>
      <c r="L338" s="56">
        <f>EFEITO!$N$338*EFEITO!$AA$338</f>
        <v>12627.987381556075</v>
      </c>
      <c r="M338" s="56">
        <f>$J$338-EFEITO!$K$338*EFEITO!$Y$338</f>
        <v>0</v>
      </c>
      <c r="N338" s="56">
        <f ca="1">$K$338-EFEITO!$M$338*EFEITO!$Z$338</f>
        <v>0</v>
      </c>
      <c r="O338" s="56">
        <f>$L$338-EFEITO!$O$338*EFEITO!$AA$338</f>
        <v>0</v>
      </c>
      <c r="P338" s="39"/>
      <c r="Q338" s="39"/>
      <c r="R338" s="39"/>
      <c r="S338" s="39"/>
      <c r="T338" s="39"/>
      <c r="U338" s="39"/>
      <c r="V338" s="39"/>
      <c r="W338" s="39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35" t="s">
        <v>21</v>
      </c>
      <c r="B339" s="35" t="s">
        <v>43</v>
      </c>
      <c r="C339" s="35" t="s">
        <v>23</v>
      </c>
      <c r="D339" s="35" t="s">
        <v>44</v>
      </c>
      <c r="E339" s="35" t="s">
        <v>45</v>
      </c>
      <c r="F339" s="35" t="s">
        <v>25</v>
      </c>
      <c r="G339" s="35" t="s">
        <v>25</v>
      </c>
      <c r="H339" s="35" t="s">
        <v>25</v>
      </c>
      <c r="I339" s="55">
        <v>44621</v>
      </c>
      <c r="J339" s="56">
        <f>EFEITO!$J$339*EFEITO!$Y$339</f>
        <v>0</v>
      </c>
      <c r="K339" s="56">
        <f ca="1">EFEITO!$L$339*EFEITO!$Z$339</f>
        <v>48129.203629716067</v>
      </c>
      <c r="L339" s="56">
        <f>EFEITO!$N$339*EFEITO!$AA$339</f>
        <v>13988.401278453321</v>
      </c>
      <c r="M339" s="56">
        <f>$J$339-EFEITO!$K$339*EFEITO!$Y$339</f>
        <v>0</v>
      </c>
      <c r="N339" s="56">
        <f ca="1">$K$339-EFEITO!$M$339*EFEITO!$Z$339</f>
        <v>0</v>
      </c>
      <c r="O339" s="56">
        <f>$L$339-EFEITO!$O$339*EFEITO!$AA$339</f>
        <v>0</v>
      </c>
      <c r="P339" s="39"/>
      <c r="Q339" s="39"/>
      <c r="R339" s="39"/>
      <c r="S339" s="39"/>
      <c r="T339" s="39"/>
      <c r="U339" s="39"/>
      <c r="V339" s="39"/>
      <c r="W339" s="39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35" t="s">
        <v>21</v>
      </c>
      <c r="B340" s="35" t="s">
        <v>43</v>
      </c>
      <c r="C340" s="35" t="s">
        <v>23</v>
      </c>
      <c r="D340" s="35" t="s">
        <v>44</v>
      </c>
      <c r="E340" s="35" t="s">
        <v>45</v>
      </c>
      <c r="F340" s="35" t="s">
        <v>25</v>
      </c>
      <c r="G340" s="35" t="s">
        <v>25</v>
      </c>
      <c r="H340" s="35" t="s">
        <v>25</v>
      </c>
      <c r="I340" s="55">
        <v>44652</v>
      </c>
      <c r="J340" s="56">
        <f>EFEITO!$J$340*EFEITO!$Y$340</f>
        <v>0</v>
      </c>
      <c r="K340" s="56">
        <f ca="1">EFEITO!$L$340*EFEITO!$Z$340</f>
        <v>46872.643288459112</v>
      </c>
      <c r="L340" s="56">
        <f>EFEITO!$N$340*EFEITO!$AA$340</f>
        <v>13623.191198948911</v>
      </c>
      <c r="M340" s="56">
        <f>$J$340-EFEITO!$K$340*EFEITO!$Y$340</f>
        <v>0</v>
      </c>
      <c r="N340" s="56">
        <f ca="1">$K$340-EFEITO!$M$340*EFEITO!$Z$340</f>
        <v>0</v>
      </c>
      <c r="O340" s="56">
        <f>$L$340-EFEITO!$O$340*EFEITO!$AA$340</f>
        <v>0</v>
      </c>
      <c r="P340" s="39"/>
      <c r="Q340" s="39"/>
      <c r="R340" s="39"/>
      <c r="S340" s="39"/>
      <c r="T340" s="39"/>
      <c r="U340" s="39"/>
      <c r="V340" s="39"/>
      <c r="W340" s="39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35" t="s">
        <v>21</v>
      </c>
      <c r="B341" s="35" t="s">
        <v>43</v>
      </c>
      <c r="C341" s="35" t="s">
        <v>23</v>
      </c>
      <c r="D341" s="35" t="s">
        <v>44</v>
      </c>
      <c r="E341" s="35" t="s">
        <v>45</v>
      </c>
      <c r="F341" s="35" t="s">
        <v>25</v>
      </c>
      <c r="G341" s="35" t="s">
        <v>25</v>
      </c>
      <c r="H341" s="35" t="s">
        <v>25</v>
      </c>
      <c r="I341" s="55">
        <v>44682</v>
      </c>
      <c r="J341" s="56">
        <f>EFEITO!$J$341*EFEITO!$Y$341</f>
        <v>0</v>
      </c>
      <c r="K341" s="56">
        <f ca="1">EFEITO!$L$341*EFEITO!$Z$341</f>
        <v>48435.113288496446</v>
      </c>
      <c r="L341" s="56">
        <f>EFEITO!$N$341*EFEITO!$AA$341</f>
        <v>14077.311685010152</v>
      </c>
      <c r="M341" s="56">
        <f>$J$341-EFEITO!$K$341*EFEITO!$Y$341</f>
        <v>0</v>
      </c>
      <c r="N341" s="56">
        <f ca="1">$K$341-EFEITO!$M$341*EFEITO!$Z$341</f>
        <v>0</v>
      </c>
      <c r="O341" s="56">
        <f>$L$341-EFEITO!$O$341*EFEITO!$AA$341</f>
        <v>0</v>
      </c>
      <c r="P341" s="39"/>
      <c r="Q341" s="39"/>
      <c r="R341" s="39"/>
      <c r="S341" s="39"/>
      <c r="T341" s="39"/>
      <c r="U341" s="39"/>
      <c r="V341" s="39"/>
      <c r="W341" s="39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35" t="s">
        <v>21</v>
      </c>
      <c r="B342" s="35" t="s">
        <v>43</v>
      </c>
      <c r="C342" s="35" t="s">
        <v>23</v>
      </c>
      <c r="D342" s="35" t="s">
        <v>44</v>
      </c>
      <c r="E342" s="35" t="s">
        <v>45</v>
      </c>
      <c r="F342" s="35" t="s">
        <v>25</v>
      </c>
      <c r="G342" s="35" t="s">
        <v>25</v>
      </c>
      <c r="H342" s="35" t="s">
        <v>25</v>
      </c>
      <c r="I342" s="55">
        <v>44713</v>
      </c>
      <c r="J342" s="56">
        <f>EFEITO!$J$342*EFEITO!$Y$342</f>
        <v>0</v>
      </c>
      <c r="K342" s="56">
        <f ca="1">EFEITO!$L$342*EFEITO!$Z$342</f>
        <v>46890.123840389424</v>
      </c>
      <c r="L342" s="56">
        <f>EFEITO!$N$342*EFEITO!$AA$342</f>
        <v>13628.271793609301</v>
      </c>
      <c r="M342" s="56">
        <f>$J$342-EFEITO!$K$342*EFEITO!$Y$342</f>
        <v>0</v>
      </c>
      <c r="N342" s="56">
        <f ca="1">$K$342-EFEITO!$M$342*EFEITO!$Z$342</f>
        <v>0</v>
      </c>
      <c r="O342" s="56">
        <f>$L$342-EFEITO!$O$342*EFEITO!$AA$342</f>
        <v>0</v>
      </c>
      <c r="P342" s="39"/>
      <c r="Q342" s="39"/>
      <c r="R342" s="39"/>
      <c r="S342" s="39"/>
      <c r="T342" s="39"/>
      <c r="U342" s="39"/>
      <c r="V342" s="39"/>
      <c r="W342" s="39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35" t="s">
        <v>21</v>
      </c>
      <c r="B343" s="35" t="s">
        <v>43</v>
      </c>
      <c r="C343" s="35" t="s">
        <v>23</v>
      </c>
      <c r="D343" s="35" t="s">
        <v>44</v>
      </c>
      <c r="E343" s="35" t="s">
        <v>45</v>
      </c>
      <c r="F343" s="35" t="s">
        <v>25</v>
      </c>
      <c r="G343" s="35" t="s">
        <v>25</v>
      </c>
      <c r="H343" s="35" t="s">
        <v>25</v>
      </c>
      <c r="I343" s="55">
        <v>44743</v>
      </c>
      <c r="J343" s="56">
        <f>EFEITO!$J$343*EFEITO!$Y$343</f>
        <v>0</v>
      </c>
      <c r="K343" s="56">
        <f ca="1">EFEITO!$L$343*EFEITO!$Z$343</f>
        <v>48279.245033784537</v>
      </c>
      <c r="L343" s="56">
        <f>EFEITO!$N$343*EFEITO!$AA$343</f>
        <v>14032.009715955004</v>
      </c>
      <c r="M343" s="56">
        <f>$J$343-EFEITO!$K$343*EFEITO!$Y$343</f>
        <v>0</v>
      </c>
      <c r="N343" s="56">
        <f ca="1">$K$343-EFEITO!$M$343*EFEITO!$Z$343</f>
        <v>0</v>
      </c>
      <c r="O343" s="56">
        <f>$L$343-EFEITO!$O$343*EFEITO!$AA$343</f>
        <v>0</v>
      </c>
      <c r="P343" s="39"/>
      <c r="Q343" s="39"/>
      <c r="R343" s="39"/>
      <c r="S343" s="39"/>
      <c r="T343" s="39"/>
      <c r="U343" s="39"/>
      <c r="V343" s="39"/>
      <c r="W343" s="39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35" t="s">
        <v>21</v>
      </c>
      <c r="B344" s="35" t="s">
        <v>43</v>
      </c>
      <c r="C344" s="35" t="s">
        <v>23</v>
      </c>
      <c r="D344" s="35" t="s">
        <v>44</v>
      </c>
      <c r="E344" s="35" t="s">
        <v>45</v>
      </c>
      <c r="F344" s="35" t="s">
        <v>25</v>
      </c>
      <c r="G344" s="35" t="s">
        <v>25</v>
      </c>
      <c r="H344" s="35" t="s">
        <v>25</v>
      </c>
      <c r="I344" s="55">
        <v>44774</v>
      </c>
      <c r="J344" s="56">
        <f>EFEITO!$J$344*EFEITO!$Y$344</f>
        <v>0</v>
      </c>
      <c r="K344" s="56">
        <f ca="1">EFEITO!$L$344*EFEITO!$Z$344</f>
        <v>48698.486937579743</v>
      </c>
      <c r="L344" s="56">
        <f>EFEITO!$N$344*EFEITO!$AA$344</f>
        <v>14153.859311226704</v>
      </c>
      <c r="M344" s="56">
        <f>$J$344-EFEITO!$K$344*EFEITO!$Y$344</f>
        <v>0</v>
      </c>
      <c r="N344" s="56">
        <f ca="1">$K$344-EFEITO!$M$344*EFEITO!$Z$344</f>
        <v>0</v>
      </c>
      <c r="O344" s="56">
        <f>$L$344-EFEITO!$O$344*EFEITO!$AA$344</f>
        <v>0</v>
      </c>
      <c r="P344" s="39"/>
      <c r="Q344" s="39"/>
      <c r="R344" s="39"/>
      <c r="S344" s="39"/>
      <c r="T344" s="39"/>
      <c r="U344" s="39"/>
      <c r="V344" s="39"/>
      <c r="W344" s="39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35" t="s">
        <v>21</v>
      </c>
      <c r="B345" s="35" t="s">
        <v>43</v>
      </c>
      <c r="C345" s="35" t="s">
        <v>23</v>
      </c>
      <c r="D345" s="35" t="s">
        <v>44</v>
      </c>
      <c r="E345" s="35" t="s">
        <v>46</v>
      </c>
      <c r="F345" s="35" t="s">
        <v>25</v>
      </c>
      <c r="G345" s="35" t="s">
        <v>25</v>
      </c>
      <c r="H345" s="35" t="s">
        <v>25</v>
      </c>
      <c r="I345" s="55">
        <v>44440</v>
      </c>
      <c r="J345" s="56">
        <f>EFEITO!$J$345*EFEITO!$Y$345</f>
        <v>0</v>
      </c>
      <c r="K345" s="56">
        <f ca="1">EFEITO!$L$345*EFEITO!$Z$345</f>
        <v>461.80439917703671</v>
      </c>
      <c r="L345" s="56">
        <f>EFEITO!$N$345*EFEITO!$AA$345</f>
        <v>134.22007348268141</v>
      </c>
      <c r="M345" s="56">
        <f>$J$345-EFEITO!$K$345*EFEITO!$Y$345</f>
        <v>0</v>
      </c>
      <c r="N345" s="56">
        <f ca="1">$K$345-EFEITO!$M$345*EFEITO!$Z$345</f>
        <v>0</v>
      </c>
      <c r="O345" s="56">
        <f>$L$345-EFEITO!$O$345*EFEITO!$AA$345</f>
        <v>0</v>
      </c>
      <c r="P345" s="39"/>
      <c r="Q345" s="39"/>
      <c r="R345" s="39"/>
      <c r="S345" s="39"/>
      <c r="T345" s="39"/>
      <c r="U345" s="39"/>
      <c r="V345" s="39"/>
      <c r="W345" s="39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F0DD-658A-4FCE-836E-AEE2E247284F}">
  <dimension ref="A1:BD103"/>
  <sheetViews>
    <sheetView showGridLines="0" topLeftCell="L28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89" t="s">
        <v>60</v>
      </c>
      <c r="B1" s="89" t="s">
        <v>61</v>
      </c>
      <c r="C1" s="89" t="s">
        <v>62</v>
      </c>
      <c r="D1" s="89" t="s">
        <v>63</v>
      </c>
      <c r="E1" s="89" t="s">
        <v>64</v>
      </c>
      <c r="F1" s="89" t="s">
        <v>15</v>
      </c>
      <c r="G1" s="89" t="s">
        <v>66</v>
      </c>
      <c r="H1" s="89" t="s">
        <v>67</v>
      </c>
      <c r="I1" s="89" t="s">
        <v>452</v>
      </c>
      <c r="J1" s="82"/>
      <c r="L1" s="90" t="s">
        <v>654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I1" s="90" t="s">
        <v>655</v>
      </c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</row>
    <row r="2" spans="1:56" ht="11.25" customHeight="1" x14ac:dyDescent="0.25">
      <c r="A2" s="89"/>
      <c r="B2" s="89"/>
      <c r="C2" s="89"/>
      <c r="D2" s="89"/>
      <c r="E2" s="89"/>
      <c r="F2" s="89"/>
      <c r="G2" s="89"/>
      <c r="H2" s="89"/>
      <c r="I2" s="89"/>
      <c r="J2" s="82"/>
      <c r="L2" s="90" t="s">
        <v>351</v>
      </c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I2" s="90" t="s">
        <v>351</v>
      </c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</row>
    <row r="3" spans="1:56" ht="11.25" customHeight="1" x14ac:dyDescent="0.25">
      <c r="A3" s="89"/>
      <c r="B3" s="89"/>
      <c r="C3" s="89"/>
      <c r="D3" s="89"/>
      <c r="E3" s="89"/>
      <c r="F3" s="89"/>
      <c r="G3" s="89"/>
      <c r="H3" s="89"/>
      <c r="I3" s="89"/>
      <c r="J3" s="82"/>
      <c r="L3" s="90" t="s">
        <v>352</v>
      </c>
      <c r="M3" s="90"/>
      <c r="N3" s="90"/>
      <c r="O3" s="90"/>
      <c r="P3" s="90"/>
      <c r="Q3" s="90"/>
      <c r="R3" s="90"/>
      <c r="S3" s="90"/>
      <c r="T3" s="90" t="s">
        <v>361</v>
      </c>
      <c r="U3" s="90"/>
      <c r="V3" s="90"/>
      <c r="W3" s="90"/>
      <c r="X3" s="90"/>
      <c r="Y3" s="90"/>
      <c r="Z3" s="90"/>
      <c r="AA3" s="10" t="s">
        <v>369</v>
      </c>
      <c r="AB3" s="90" t="s">
        <v>371</v>
      </c>
      <c r="AC3" s="90"/>
      <c r="AD3" s="90" t="s">
        <v>374</v>
      </c>
      <c r="AE3" s="90"/>
      <c r="AF3" s="90"/>
      <c r="AG3" s="90"/>
      <c r="AI3" s="90" t="s">
        <v>352</v>
      </c>
      <c r="AJ3" s="90"/>
      <c r="AK3" s="90"/>
      <c r="AL3" s="90"/>
      <c r="AM3" s="90"/>
      <c r="AN3" s="90"/>
      <c r="AO3" s="90"/>
      <c r="AP3" s="90"/>
      <c r="AQ3" s="90" t="s">
        <v>361</v>
      </c>
      <c r="AR3" s="90"/>
      <c r="AS3" s="90"/>
      <c r="AT3" s="90"/>
      <c r="AU3" s="90"/>
      <c r="AV3" s="90"/>
      <c r="AW3" s="90"/>
      <c r="AX3" s="10" t="s">
        <v>369</v>
      </c>
      <c r="AY3" s="90" t="s">
        <v>371</v>
      </c>
      <c r="AZ3" s="90"/>
      <c r="BA3" s="90" t="s">
        <v>374</v>
      </c>
      <c r="BB3" s="90"/>
      <c r="BC3" s="90"/>
      <c r="BD3" s="90"/>
    </row>
    <row r="4" spans="1:56" ht="11.25" customHeight="1" x14ac:dyDescent="0.25">
      <c r="A4" s="89"/>
      <c r="B4" s="89"/>
      <c r="C4" s="89"/>
      <c r="D4" s="89"/>
      <c r="E4" s="89"/>
      <c r="F4" s="89"/>
      <c r="G4" s="89"/>
      <c r="H4" s="89"/>
      <c r="I4" s="89"/>
      <c r="J4" s="82"/>
      <c r="L4" s="10" t="s">
        <v>437</v>
      </c>
      <c r="M4" s="10" t="s">
        <v>353</v>
      </c>
      <c r="N4" s="10" t="s">
        <v>354</v>
      </c>
      <c r="O4" s="10" t="s">
        <v>355</v>
      </c>
      <c r="P4" s="10" t="s">
        <v>356</v>
      </c>
      <c r="Q4" s="10" t="s">
        <v>357</v>
      </c>
      <c r="R4" s="10" t="s">
        <v>358</v>
      </c>
      <c r="S4" s="10" t="s">
        <v>359</v>
      </c>
      <c r="T4" s="10" t="s">
        <v>362</v>
      </c>
      <c r="U4" s="10" t="s">
        <v>363</v>
      </c>
      <c r="V4" s="10" t="s">
        <v>364</v>
      </c>
      <c r="W4" s="10" t="s">
        <v>365</v>
      </c>
      <c r="X4" s="10" t="s">
        <v>366</v>
      </c>
      <c r="Y4" s="10" t="s">
        <v>367</v>
      </c>
      <c r="Z4" s="10" t="s">
        <v>368</v>
      </c>
      <c r="AA4" s="10" t="s">
        <v>370</v>
      </c>
      <c r="AB4" s="10" t="s">
        <v>372</v>
      </c>
      <c r="AC4" s="10" t="s">
        <v>373</v>
      </c>
      <c r="AD4" s="10" t="s">
        <v>375</v>
      </c>
      <c r="AE4" s="10" t="s">
        <v>376</v>
      </c>
      <c r="AF4" s="10" t="s">
        <v>377</v>
      </c>
      <c r="AG4" s="10" t="s">
        <v>378</v>
      </c>
      <c r="AI4" s="10" t="s">
        <v>437</v>
      </c>
      <c r="AJ4" s="10" t="s">
        <v>353</v>
      </c>
      <c r="AK4" s="10" t="s">
        <v>354</v>
      </c>
      <c r="AL4" s="10" t="s">
        <v>355</v>
      </c>
      <c r="AM4" s="10" t="s">
        <v>356</v>
      </c>
      <c r="AN4" s="10" t="s">
        <v>357</v>
      </c>
      <c r="AO4" s="10" t="s">
        <v>358</v>
      </c>
      <c r="AP4" s="10" t="s">
        <v>359</v>
      </c>
      <c r="AQ4" s="10" t="s">
        <v>362</v>
      </c>
      <c r="AR4" s="10" t="s">
        <v>363</v>
      </c>
      <c r="AS4" s="10" t="s">
        <v>364</v>
      </c>
      <c r="AT4" s="10" t="s">
        <v>365</v>
      </c>
      <c r="AU4" s="10" t="s">
        <v>366</v>
      </c>
      <c r="AV4" s="10" t="s">
        <v>367</v>
      </c>
      <c r="AW4" s="10" t="s">
        <v>368</v>
      </c>
      <c r="AX4" s="10" t="s">
        <v>370</v>
      </c>
      <c r="AY4" s="10" t="s">
        <v>372</v>
      </c>
      <c r="AZ4" s="10" t="s">
        <v>373</v>
      </c>
      <c r="BA4" s="10" t="s">
        <v>375</v>
      </c>
      <c r="BB4" s="10" t="s">
        <v>376</v>
      </c>
      <c r="BC4" s="10" t="s">
        <v>377</v>
      </c>
      <c r="BD4" s="10" t="s">
        <v>378</v>
      </c>
    </row>
    <row r="5" spans="1:56" ht="11.25" customHeight="1" x14ac:dyDescent="0.25">
      <c r="A5" s="93" t="s">
        <v>35</v>
      </c>
      <c r="B5" s="93" t="s">
        <v>73</v>
      </c>
      <c r="C5" s="93" t="s">
        <v>25</v>
      </c>
      <c r="D5" s="93" t="s">
        <v>25</v>
      </c>
      <c r="E5" s="93" t="s">
        <v>25</v>
      </c>
      <c r="F5" s="93" t="s">
        <v>25</v>
      </c>
      <c r="G5" s="18" t="s">
        <v>75</v>
      </c>
      <c r="H5" s="18" t="s">
        <v>74</v>
      </c>
      <c r="I5" s="18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37.531063259390791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68.836823362516952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32.716070512363103</v>
      </c>
      <c r="AV5" s="13">
        <v>0</v>
      </c>
      <c r="AW5" s="13">
        <v>0</v>
      </c>
      <c r="AX5" s="13">
        <v>67.999749468413597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93"/>
      <c r="B6" s="93"/>
      <c r="C6" s="93"/>
      <c r="D6" s="93"/>
      <c r="E6" s="93"/>
      <c r="F6" s="93"/>
      <c r="G6" s="18" t="s">
        <v>76</v>
      </c>
      <c r="H6" s="18" t="s">
        <v>74</v>
      </c>
      <c r="I6" s="18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15.169515928779724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19.235321880898123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13.2233944756762</v>
      </c>
      <c r="AV6" s="13">
        <v>0</v>
      </c>
      <c r="AW6" s="13">
        <v>0</v>
      </c>
      <c r="AX6" s="13">
        <v>19.001413576590998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93"/>
      <c r="B7" s="93"/>
      <c r="C7" s="93"/>
      <c r="D7" s="93"/>
      <c r="E7" s="93"/>
      <c r="F7" s="93"/>
      <c r="G7" s="18" t="s">
        <v>77</v>
      </c>
      <c r="H7" s="18" t="s">
        <v>70</v>
      </c>
      <c r="I7" s="18">
        <f>'MERCADO TUSD'!$U$4</f>
        <v>0</v>
      </c>
      <c r="J7" s="15"/>
      <c r="L7" s="13">
        <f>('TUSD BE'!$L$7+'TUSD BF'!$L$7+'TUSD CVA'!$L$7)*1</f>
        <v>0</v>
      </c>
      <c r="M7" s="13">
        <f>('TUSD BE'!$M$7+'TUSD BF'!$M$7+'TUSD CVA'!$M$7)*1</f>
        <v>0.84560492210501448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77.24165351604168</v>
      </c>
      <c r="R7" s="13">
        <f>('TUSD BE'!$R$7+'TUSD BF'!$R$7+'TUSD CVA'!$R$7)*1</f>
        <v>14.522302575775493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4.8369177319775938</v>
      </c>
      <c r="AE7" s="13">
        <f>('TUSD BE'!$AI$7+'TUSD BF'!$AI$7+'TUSD CVA'!$AI$7)*1</f>
        <v>0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0.71084998239101205</v>
      </c>
      <c r="AK7" s="13">
        <v>0</v>
      </c>
      <c r="AL7" s="13">
        <v>0</v>
      </c>
      <c r="AM7" s="13">
        <v>0</v>
      </c>
      <c r="AN7" s="13">
        <v>51.191471599455397</v>
      </c>
      <c r="AO7" s="13">
        <v>9.1440108775127094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6.4763319420691001</v>
      </c>
      <c r="BB7" s="13">
        <v>0</v>
      </c>
      <c r="BC7" s="13">
        <v>0</v>
      </c>
      <c r="BD7" s="13">
        <v>0</v>
      </c>
    </row>
    <row r="8" spans="1:56" ht="11.25" customHeight="1" x14ac:dyDescent="0.25">
      <c r="A8" s="93"/>
      <c r="B8" s="93"/>
      <c r="C8" s="93"/>
      <c r="D8" s="93"/>
      <c r="E8" s="17" t="s">
        <v>78</v>
      </c>
      <c r="F8" s="17" t="s">
        <v>25</v>
      </c>
      <c r="G8" s="18" t="s">
        <v>77</v>
      </c>
      <c r="H8" s="18" t="s">
        <v>70</v>
      </c>
      <c r="I8" s="18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0.84560492210501448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4.8369177319775938</v>
      </c>
      <c r="AE8" s="13">
        <f>('TUSD BE'!$AI$8+'TUSD BF'!$AI$8+'TUSD CVA'!$AI$8)*1</f>
        <v>0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0.71084998239101205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6.4763319420691001</v>
      </c>
      <c r="BB8" s="13">
        <v>0</v>
      </c>
      <c r="BC8" s="13">
        <v>0</v>
      </c>
      <c r="BD8" s="13">
        <v>0</v>
      </c>
    </row>
    <row r="9" spans="1:56" ht="11.25" customHeight="1" x14ac:dyDescent="0.25">
      <c r="A9" s="93"/>
      <c r="B9" s="17" t="s">
        <v>79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74</v>
      </c>
      <c r="I9" s="18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12.170576006250611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7.9661168293511109E-3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1.0389347312229799E-2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8.5962304248676293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93"/>
      <c r="B10" s="93" t="s">
        <v>36</v>
      </c>
      <c r="C10" s="93" t="s">
        <v>25</v>
      </c>
      <c r="D10" s="93" t="s">
        <v>25</v>
      </c>
      <c r="E10" s="93" t="s">
        <v>25</v>
      </c>
      <c r="F10" s="93" t="s">
        <v>25</v>
      </c>
      <c r="G10" s="18" t="s">
        <v>9</v>
      </c>
      <c r="H10" s="18" t="s">
        <v>74</v>
      </c>
      <c r="I10" s="18">
        <f>'MERCADO TUSD'!$U$7</f>
        <v>33489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15.169515928779724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19.235321880898123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13.2233944756762</v>
      </c>
      <c r="AV10" s="13">
        <v>0</v>
      </c>
      <c r="AW10" s="13">
        <v>0</v>
      </c>
      <c r="AX10" s="13">
        <v>19.001413576590998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93"/>
      <c r="B11" s="93"/>
      <c r="C11" s="93"/>
      <c r="D11" s="93"/>
      <c r="E11" s="93"/>
      <c r="F11" s="93"/>
      <c r="G11" s="18" t="s">
        <v>71</v>
      </c>
      <c r="H11" s="18" t="s">
        <v>70</v>
      </c>
      <c r="I11" s="18">
        <f>'MERCADO TUSD'!$U$8</f>
        <v>232.29900000000001</v>
      </c>
      <c r="J11" s="15"/>
      <c r="L11" s="13">
        <f>('TUSD BE'!$L$11+'TUSD BF'!$L$11+'TUSD CVA'!$L$11)*1</f>
        <v>0</v>
      </c>
      <c r="M11" s="13">
        <f>('TUSD BE'!$M$11+'TUSD BF'!$M$11+'TUSD CVA'!$M$11)*1</f>
        <v>0.84560492210501448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77.24165351604168</v>
      </c>
      <c r="R11" s="13">
        <f>('TUSD BE'!$R$11+'TUSD BF'!$R$11+'TUSD CVA'!$R$11)*1</f>
        <v>14.522302575775493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902.98163902469321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1655.5257078398117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4.8369177319775938</v>
      </c>
      <c r="AE11" s="13">
        <f>('TUSD BE'!$AI$11+'TUSD BF'!$AI$11+'TUSD CVA'!$AI$11)*1</f>
        <v>0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0.71084998239101205</v>
      </c>
      <c r="AK11" s="13">
        <v>0</v>
      </c>
      <c r="AL11" s="13">
        <v>0</v>
      </c>
      <c r="AM11" s="13">
        <v>0</v>
      </c>
      <c r="AN11" s="13">
        <v>51.191471599455397</v>
      </c>
      <c r="AO11" s="13">
        <v>9.1440108775127094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787.13581928161204</v>
      </c>
      <c r="AV11" s="13">
        <v>0</v>
      </c>
      <c r="AW11" s="13">
        <v>0</v>
      </c>
      <c r="AX11" s="13">
        <v>1635.39461150746</v>
      </c>
      <c r="AY11" s="13">
        <v>0</v>
      </c>
      <c r="AZ11" s="13">
        <v>0</v>
      </c>
      <c r="BA11" s="13">
        <v>6.4763319420691001</v>
      </c>
      <c r="BB11" s="13">
        <v>0</v>
      </c>
      <c r="BC11" s="13">
        <v>0</v>
      </c>
      <c r="BD11" s="13">
        <v>0</v>
      </c>
    </row>
    <row r="12" spans="1:56" ht="11.25" customHeight="1" x14ac:dyDescent="0.25">
      <c r="A12" s="93"/>
      <c r="B12" s="93"/>
      <c r="C12" s="93"/>
      <c r="D12" s="93"/>
      <c r="E12" s="93"/>
      <c r="F12" s="93"/>
      <c r="G12" s="18" t="s">
        <v>72</v>
      </c>
      <c r="H12" s="18" t="s">
        <v>70</v>
      </c>
      <c r="I12" s="18">
        <f>'MERCADO TUSD'!$U$9</f>
        <v>7582.5569999999989</v>
      </c>
      <c r="J12" s="15"/>
      <c r="L12" s="13">
        <f>('TUSD BE'!$L$12+'TUSD BF'!$L$12+'TUSD CVA'!$L$12)*1</f>
        <v>0</v>
      </c>
      <c r="M12" s="13">
        <f>('TUSD BE'!$M$12+'TUSD BF'!$M$12+'TUSD CVA'!$M$12)*1</f>
        <v>0.84560492210501448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77.24165351604168</v>
      </c>
      <c r="R12" s="13">
        <f>('TUSD BE'!$R$12+'TUSD BF'!$R$12+'TUSD CVA'!$R$12)*1</f>
        <v>14.522302575775493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4.8369177319775938</v>
      </c>
      <c r="AE12" s="13">
        <f>('TUSD BE'!$AI$12+'TUSD BF'!$AI$12+'TUSD CVA'!$AI$12)*1</f>
        <v>0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0.71084998239101205</v>
      </c>
      <c r="AK12" s="13">
        <v>0</v>
      </c>
      <c r="AL12" s="13">
        <v>0</v>
      </c>
      <c r="AM12" s="13">
        <v>0</v>
      </c>
      <c r="AN12" s="13">
        <v>51.191471599455397</v>
      </c>
      <c r="AO12" s="13">
        <v>9.1440108775127094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6.4763319420691001</v>
      </c>
      <c r="BB12" s="13">
        <v>0</v>
      </c>
      <c r="BC12" s="13">
        <v>0</v>
      </c>
      <c r="BD12" s="13">
        <v>0</v>
      </c>
    </row>
    <row r="13" spans="1:56" ht="11.25" customHeight="1" x14ac:dyDescent="0.25">
      <c r="A13" s="93"/>
      <c r="B13" s="93"/>
      <c r="C13" s="93"/>
      <c r="D13" s="93"/>
      <c r="E13" s="93" t="s">
        <v>78</v>
      </c>
      <c r="F13" s="93" t="s">
        <v>25</v>
      </c>
      <c r="G13" s="18" t="s">
        <v>71</v>
      </c>
      <c r="H13" s="18" t="s">
        <v>70</v>
      </c>
      <c r="I13" s="18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0.84560492210501448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902.98163902469321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1655.5257078398117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4.8369177319775938</v>
      </c>
      <c r="AE13" s="13">
        <f>('TUSD BE'!$AI$13+'TUSD BF'!$AI$13+'TUSD CVA'!$AI$13)*1</f>
        <v>0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0.71084998239101205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787.13581928161204</v>
      </c>
      <c r="AV13" s="13">
        <v>0</v>
      </c>
      <c r="AW13" s="13">
        <v>0</v>
      </c>
      <c r="AX13" s="13">
        <v>1635.39461150746</v>
      </c>
      <c r="AY13" s="13">
        <v>0</v>
      </c>
      <c r="AZ13" s="13">
        <v>0</v>
      </c>
      <c r="BA13" s="13">
        <v>6.4763319420691001</v>
      </c>
      <c r="BB13" s="13">
        <v>0</v>
      </c>
      <c r="BC13" s="13">
        <v>0</v>
      </c>
      <c r="BD13" s="13">
        <v>0</v>
      </c>
    </row>
    <row r="14" spans="1:56" ht="11.25" customHeight="1" x14ac:dyDescent="0.25">
      <c r="A14" s="93"/>
      <c r="B14" s="93"/>
      <c r="C14" s="93"/>
      <c r="D14" s="93"/>
      <c r="E14" s="93"/>
      <c r="F14" s="93"/>
      <c r="G14" s="18" t="s">
        <v>72</v>
      </c>
      <c r="H14" s="18" t="s">
        <v>70</v>
      </c>
      <c r="I14" s="18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0.84560492210501448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4.8369177319775938</v>
      </c>
      <c r="AE14" s="13">
        <f>('TUSD BE'!$AI$14+'TUSD BF'!$AI$14+'TUSD CVA'!$AI$14)*1</f>
        <v>0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0.71084998239101205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6.4763319420691001</v>
      </c>
      <c r="BB14" s="13">
        <v>0</v>
      </c>
      <c r="BC14" s="13">
        <v>0</v>
      </c>
      <c r="BD14" s="13">
        <v>0</v>
      </c>
    </row>
    <row r="15" spans="1:56" ht="11.25" customHeight="1" x14ac:dyDescent="0.25">
      <c r="A15" s="93" t="s">
        <v>80</v>
      </c>
      <c r="B15" s="93" t="s">
        <v>79</v>
      </c>
      <c r="C15" s="93" t="s">
        <v>25</v>
      </c>
      <c r="D15" s="93" t="s">
        <v>25</v>
      </c>
      <c r="E15" s="17" t="s">
        <v>81</v>
      </c>
      <c r="F15" s="17" t="s">
        <v>25</v>
      </c>
      <c r="G15" s="18" t="s">
        <v>9</v>
      </c>
      <c r="H15" s="18" t="s">
        <v>74</v>
      </c>
      <c r="I15" s="18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1.1447925696649605E-2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8.9761327429440687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1.0686185806864999E-2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8.8670021506659698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93"/>
      <c r="B16" s="93"/>
      <c r="C16" s="93"/>
      <c r="D16" s="93"/>
      <c r="E16" s="17" t="s">
        <v>82</v>
      </c>
      <c r="F16" s="17" t="s">
        <v>25</v>
      </c>
      <c r="G16" s="18" t="s">
        <v>9</v>
      </c>
      <c r="H16" s="18" t="s">
        <v>74</v>
      </c>
      <c r="I16" s="18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1.1447925696649605E-2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18.262286289467106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1.0686185806864999E-2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18.040204824776101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93" t="s">
        <v>22</v>
      </c>
      <c r="B17" s="93" t="s">
        <v>85</v>
      </c>
      <c r="C17" s="93" t="s">
        <v>24</v>
      </c>
      <c r="D17" s="93" t="s">
        <v>24</v>
      </c>
      <c r="E17" s="93" t="s">
        <v>25</v>
      </c>
      <c r="F17" s="93" t="s">
        <v>25</v>
      </c>
      <c r="G17" s="18" t="s">
        <v>71</v>
      </c>
      <c r="H17" s="18" t="s">
        <v>70</v>
      </c>
      <c r="I17" s="18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1.8402695973780236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91.954349423859156</v>
      </c>
      <c r="R17" s="13">
        <f>('TUSD BE'!$R$17+'TUSD BF'!$R$17+'TUSD CVA'!$R$17)*1</f>
        <v>14.522302575775493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330.58753793268579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773.50979796271167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12.527665470506996</v>
      </c>
      <c r="AE17" s="13">
        <f>('TUSD BE'!$AI$17+'TUSD BF'!$AI$17+'TUSD CVA'!$AI$17)*1</f>
        <v>0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1.6173929474414499</v>
      </c>
      <c r="AK17" s="13">
        <v>0</v>
      </c>
      <c r="AL17" s="13">
        <v>0</v>
      </c>
      <c r="AM17" s="13">
        <v>0</v>
      </c>
      <c r="AN17" s="13">
        <v>58.840771953397002</v>
      </c>
      <c r="AO17" s="13">
        <v>9.1440108775127094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288.175639510667</v>
      </c>
      <c r="AV17" s="13">
        <v>0</v>
      </c>
      <c r="AW17" s="13">
        <v>0</v>
      </c>
      <c r="AX17" s="13">
        <v>764.10399374371104</v>
      </c>
      <c r="AY17" s="13">
        <v>0</v>
      </c>
      <c r="AZ17" s="13">
        <v>0</v>
      </c>
      <c r="BA17" s="13">
        <v>16.773845384531398</v>
      </c>
      <c r="BB17" s="13">
        <v>0</v>
      </c>
      <c r="BC17" s="13">
        <v>0</v>
      </c>
      <c r="BD17" s="13">
        <v>0</v>
      </c>
    </row>
    <row r="18" spans="1:56" ht="11.25" customHeight="1" x14ac:dyDescent="0.25">
      <c r="A18" s="93"/>
      <c r="B18" s="93"/>
      <c r="C18" s="93"/>
      <c r="D18" s="93"/>
      <c r="E18" s="93"/>
      <c r="F18" s="93"/>
      <c r="G18" s="18" t="s">
        <v>83</v>
      </c>
      <c r="H18" s="18" t="s">
        <v>70</v>
      </c>
      <c r="I18" s="18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1.8402695973780236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91.954349423859156</v>
      </c>
      <c r="R18" s="13">
        <f>('TUSD BE'!$R$18+'TUSD BF'!$R$18+'TUSD CVA'!$R$18)*1</f>
        <v>14.522302575775493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198.352590627105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464.10611264527711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12.527665470506996</v>
      </c>
      <c r="AE18" s="13">
        <f>('TUSD BE'!$AI$18+'TUSD BF'!$AI$18+'TUSD CVA'!$AI$18)*1</f>
        <v>0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1.6173929474414499</v>
      </c>
      <c r="AK18" s="13">
        <v>0</v>
      </c>
      <c r="AL18" s="13">
        <v>0</v>
      </c>
      <c r="AM18" s="13">
        <v>0</v>
      </c>
      <c r="AN18" s="13">
        <v>58.840771953397002</v>
      </c>
      <c r="AO18" s="13">
        <v>9.1440108775127094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172.90540280376101</v>
      </c>
      <c r="AV18" s="13">
        <v>0</v>
      </c>
      <c r="AW18" s="13">
        <v>0</v>
      </c>
      <c r="AX18" s="13">
        <v>458.46261236961101</v>
      </c>
      <c r="AY18" s="13">
        <v>0</v>
      </c>
      <c r="AZ18" s="13">
        <v>0</v>
      </c>
      <c r="BA18" s="13">
        <v>16.773845384531398</v>
      </c>
      <c r="BB18" s="13">
        <v>0</v>
      </c>
      <c r="BC18" s="13">
        <v>0</v>
      </c>
      <c r="BD18" s="13">
        <v>0</v>
      </c>
    </row>
    <row r="19" spans="1:56" ht="11.25" customHeight="1" x14ac:dyDescent="0.25">
      <c r="A19" s="93"/>
      <c r="B19" s="93"/>
      <c r="C19" s="93"/>
      <c r="D19" s="93"/>
      <c r="E19" s="93"/>
      <c r="F19" s="93"/>
      <c r="G19" s="18" t="s">
        <v>72</v>
      </c>
      <c r="H19" s="18" t="s">
        <v>70</v>
      </c>
      <c r="I19" s="18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1.8402695973780236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91.954349423859156</v>
      </c>
      <c r="R19" s="13">
        <f>('TUSD BE'!$R$19+'TUSD BF'!$R$19+'TUSD CVA'!$R$19)*1</f>
        <v>14.522302575775493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66.17793227827643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154.70184265871734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12.527665470506996</v>
      </c>
      <c r="AE19" s="13">
        <f>('TUSD BE'!$AI$19+'TUSD BF'!$AI$19+'TUSD CVA'!$AI$19)*1</f>
        <v>0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1.6173929474414499</v>
      </c>
      <c r="AK19" s="13">
        <v>0</v>
      </c>
      <c r="AL19" s="13">
        <v>0</v>
      </c>
      <c r="AM19" s="13">
        <v>0</v>
      </c>
      <c r="AN19" s="13">
        <v>58.840771953397002</v>
      </c>
      <c r="AO19" s="13">
        <v>9.1440108775127094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57.687779325502802</v>
      </c>
      <c r="AV19" s="13">
        <v>0</v>
      </c>
      <c r="AW19" s="13">
        <v>0</v>
      </c>
      <c r="AX19" s="13">
        <v>152.82069068704999</v>
      </c>
      <c r="AY19" s="13">
        <v>0</v>
      </c>
      <c r="AZ19" s="13">
        <v>0</v>
      </c>
      <c r="BA19" s="13">
        <v>16.773845384531398</v>
      </c>
      <c r="BB19" s="13">
        <v>0</v>
      </c>
      <c r="BC19" s="13">
        <v>0</v>
      </c>
      <c r="BD19" s="13">
        <v>0</v>
      </c>
    </row>
    <row r="20" spans="1:56" ht="11.25" customHeight="1" x14ac:dyDescent="0.25">
      <c r="A20" s="93"/>
      <c r="B20" s="93" t="s">
        <v>23</v>
      </c>
      <c r="C20" s="93" t="s">
        <v>24</v>
      </c>
      <c r="D20" s="17" t="s">
        <v>24</v>
      </c>
      <c r="E20" s="17" t="s">
        <v>25</v>
      </c>
      <c r="F20" s="17" t="s">
        <v>25</v>
      </c>
      <c r="G20" s="18" t="s">
        <v>77</v>
      </c>
      <c r="H20" s="18" t="s">
        <v>70</v>
      </c>
      <c r="I20" s="18">
        <f>'MERCADO TUSD'!$U$17</f>
        <v>10122.061</v>
      </c>
      <c r="J20" s="15"/>
      <c r="L20" s="13">
        <f>('TUSD BE'!$L$20+'TUSD BF'!$L$20+'TUSD CVA'!$L$20)*1</f>
        <v>0</v>
      </c>
      <c r="M20" s="13">
        <f>('TUSD BE'!$M$20+'TUSD BF'!$M$20+'TUSD CVA'!$M$20)*1</f>
        <v>1.8402695973780236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91.954349423859156</v>
      </c>
      <c r="R20" s="13">
        <f>('TUSD BE'!$R$20+'TUSD BF'!$R$20+'TUSD CVA'!$R$20)*1</f>
        <v>14.522302575775493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122.38386750725587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286.48524028303211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12.527665470506996</v>
      </c>
      <c r="AE20" s="13">
        <f>('TUSD BE'!$AI$20+'TUSD BF'!$AI$20+'TUSD CVA'!$AI$20)*1</f>
        <v>0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1.6173929474414499</v>
      </c>
      <c r="AK20" s="13">
        <v>0</v>
      </c>
      <c r="AL20" s="13">
        <v>0</v>
      </c>
      <c r="AM20" s="13">
        <v>0</v>
      </c>
      <c r="AN20" s="13">
        <v>58.840771953397002</v>
      </c>
      <c r="AO20" s="13">
        <v>9.1440108775127094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106.68291750767401</v>
      </c>
      <c r="AV20" s="13">
        <v>0</v>
      </c>
      <c r="AW20" s="13">
        <v>0</v>
      </c>
      <c r="AX20" s="13">
        <v>283.00160780920902</v>
      </c>
      <c r="AY20" s="13">
        <v>0</v>
      </c>
      <c r="AZ20" s="13">
        <v>0</v>
      </c>
      <c r="BA20" s="13">
        <v>16.773845384531398</v>
      </c>
      <c r="BB20" s="13">
        <v>0</v>
      </c>
      <c r="BC20" s="13">
        <v>0</v>
      </c>
      <c r="BD20" s="13">
        <v>0</v>
      </c>
    </row>
    <row r="21" spans="1:56" ht="11.25" customHeight="1" x14ac:dyDescent="0.25">
      <c r="A21" s="93"/>
      <c r="B21" s="93"/>
      <c r="C21" s="93"/>
      <c r="D21" s="17" t="s">
        <v>29</v>
      </c>
      <c r="E21" s="17" t="s">
        <v>25</v>
      </c>
      <c r="F21" s="17" t="s">
        <v>25</v>
      </c>
      <c r="G21" s="18" t="s">
        <v>77</v>
      </c>
      <c r="H21" s="18" t="s">
        <v>70</v>
      </c>
      <c r="I21" s="18">
        <f>'MERCADO TUSD'!$U$18</f>
        <v>111.12200000000001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0.64409435908230828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42.834353627539549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100.26983409906123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4.3846829146774482</v>
      </c>
      <c r="AE21" s="13">
        <f>('TUSD BE'!$AI$21+'TUSD BF'!$AI$21+'TUSD CVA'!$AI$21)*(1 - 0.65)</f>
        <v>0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0.56608753160450598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37.339021127685797</v>
      </c>
      <c r="AV21" s="13">
        <v>0</v>
      </c>
      <c r="AW21" s="13">
        <v>0</v>
      </c>
      <c r="AX21" s="13">
        <v>99.050562733223103</v>
      </c>
      <c r="AY21" s="13">
        <v>0</v>
      </c>
      <c r="AZ21" s="13">
        <v>0</v>
      </c>
      <c r="BA21" s="13">
        <v>5.8708458845859797</v>
      </c>
      <c r="BB21" s="13">
        <v>0</v>
      </c>
      <c r="BC21" s="13">
        <v>0</v>
      </c>
      <c r="BD21" s="13">
        <v>0</v>
      </c>
    </row>
    <row r="22" spans="1:56" ht="11.25" customHeight="1" x14ac:dyDescent="0.25">
      <c r="A22" s="93"/>
      <c r="B22" s="93"/>
      <c r="C22" s="93"/>
      <c r="D22" s="17" t="s">
        <v>30</v>
      </c>
      <c r="E22" s="17" t="s">
        <v>25</v>
      </c>
      <c r="F22" s="17" t="s">
        <v>25</v>
      </c>
      <c r="G22" s="18" t="s">
        <v>77</v>
      </c>
      <c r="H22" s="18" t="s">
        <v>70</v>
      </c>
      <c r="I22" s="18">
        <f>'MERCADO TUSD'!$U$19</f>
        <v>223.66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1.1041617584268142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73.430320504353517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171.89114416981926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7.5165992823041972</v>
      </c>
      <c r="AE22" s="13">
        <f>('TUSD BE'!$AI$22+'TUSD BF'!$AI$22+'TUSD CVA'!$AI$22)*(1 - 0.4)</f>
        <v>0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0.97043576846486801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64.009750504604199</v>
      </c>
      <c r="AV22" s="13">
        <v>0</v>
      </c>
      <c r="AW22" s="13">
        <v>0</v>
      </c>
      <c r="AX22" s="13">
        <v>169.800964685525</v>
      </c>
      <c r="AY22" s="13">
        <v>0</v>
      </c>
      <c r="AZ22" s="13">
        <v>0</v>
      </c>
      <c r="BA22" s="13">
        <v>10.0643072307188</v>
      </c>
      <c r="BB22" s="13">
        <v>0</v>
      </c>
      <c r="BC22" s="13">
        <v>0</v>
      </c>
      <c r="BD22" s="13">
        <v>0</v>
      </c>
    </row>
    <row r="23" spans="1:56" ht="11.25" customHeight="1" x14ac:dyDescent="0.25">
      <c r="A23" s="93"/>
      <c r="B23" s="93"/>
      <c r="C23" s="93"/>
      <c r="D23" s="17" t="s">
        <v>31</v>
      </c>
      <c r="E23" s="17" t="s">
        <v>25</v>
      </c>
      <c r="F23" s="17" t="s">
        <v>25</v>
      </c>
      <c r="G23" s="18" t="s">
        <v>77</v>
      </c>
      <c r="H23" s="18" t="s">
        <v>70</v>
      </c>
      <c r="I23" s="18">
        <f>'MERCADO TUSD'!$U$20</f>
        <v>229.345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1.6562426376402213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110.14548075653029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257.83671625472891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11.274898923456297</v>
      </c>
      <c r="AE23" s="13">
        <f>('TUSD BE'!$AI$23+'TUSD BF'!$AI$23+'TUSD CVA'!$AI$23)*(1 - 0.1)</f>
        <v>0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1.4556536526973001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96.014625756906298</v>
      </c>
      <c r="AV23" s="13">
        <v>0</v>
      </c>
      <c r="AW23" s="13">
        <v>0</v>
      </c>
      <c r="AX23" s="13">
        <v>254.70144702828799</v>
      </c>
      <c r="AY23" s="13">
        <v>0</v>
      </c>
      <c r="AZ23" s="13">
        <v>0</v>
      </c>
      <c r="BA23" s="13">
        <v>15.0964608460782</v>
      </c>
      <c r="BB23" s="13">
        <v>0</v>
      </c>
      <c r="BC23" s="13">
        <v>0</v>
      </c>
      <c r="BD23" s="13">
        <v>0</v>
      </c>
    </row>
    <row r="24" spans="1:56" ht="11.25" customHeight="1" x14ac:dyDescent="0.25">
      <c r="A24" s="93"/>
      <c r="B24" s="93"/>
      <c r="C24" s="93"/>
      <c r="D24" s="17" t="s">
        <v>32</v>
      </c>
      <c r="E24" s="17" t="s">
        <v>25</v>
      </c>
      <c r="F24" s="17" t="s">
        <v>25</v>
      </c>
      <c r="G24" s="18" t="s">
        <v>77</v>
      </c>
      <c r="H24" s="18" t="s">
        <v>70</v>
      </c>
      <c r="I24" s="18">
        <f>'MERCADO TUSD'!$U$21</f>
        <v>103.19500000000001</v>
      </c>
      <c r="J24" s="15"/>
      <c r="L24" s="13">
        <f>('TUSD BE'!$L$24+'TUSD BF'!$L$24+'TUSD CVA'!$L$24)*1</f>
        <v>0</v>
      </c>
      <c r="M24" s="13">
        <f>('TUSD BE'!$M$24+'TUSD BF'!$M$24+'TUSD CVA'!$M$24)*1</f>
        <v>1.8402695973780236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122.38386750725587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286.48524028303211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12.527665470506996</v>
      </c>
      <c r="AE24" s="13">
        <f>('TUSD BE'!$AI$24+'TUSD BF'!$AI$24+'TUSD CVA'!$AI$24)*1</f>
        <v>0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1.6173929474414499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106.68291750767401</v>
      </c>
      <c r="AV24" s="13">
        <v>0</v>
      </c>
      <c r="AW24" s="13">
        <v>0</v>
      </c>
      <c r="AX24" s="13">
        <v>283.00160780920902</v>
      </c>
      <c r="AY24" s="13">
        <v>0</v>
      </c>
      <c r="AZ24" s="13">
        <v>0</v>
      </c>
      <c r="BA24" s="13">
        <v>16.773845384531398</v>
      </c>
      <c r="BB24" s="13">
        <v>0</v>
      </c>
      <c r="BC24" s="13">
        <v>0</v>
      </c>
      <c r="BD24" s="13">
        <v>0</v>
      </c>
    </row>
    <row r="25" spans="1:56" ht="11.25" customHeight="1" x14ac:dyDescent="0.25">
      <c r="A25" s="93"/>
      <c r="B25" s="93" t="s">
        <v>87</v>
      </c>
      <c r="C25" s="93" t="s">
        <v>24</v>
      </c>
      <c r="D25" s="17" t="s">
        <v>24</v>
      </c>
      <c r="E25" s="17" t="s">
        <v>25</v>
      </c>
      <c r="F25" s="17" t="s">
        <v>25</v>
      </c>
      <c r="G25" s="18" t="s">
        <v>77</v>
      </c>
      <c r="H25" s="18" t="s">
        <v>70</v>
      </c>
      <c r="I25" s="18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1.8402695973780236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91.954349423859156</v>
      </c>
      <c r="R25" s="13">
        <f>('TUSD BE'!$R$25+'TUSD BF'!$R$25+'TUSD CVA'!$R$25)*1</f>
        <v>14.522302575775493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122.38386750725587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286.48524028303211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12.527665470506996</v>
      </c>
      <c r="AE25" s="13">
        <f>('TUSD BE'!$AI$25+'TUSD BF'!$AI$25+'TUSD CVA'!$AI$25)*1</f>
        <v>0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1.6173929474414499</v>
      </c>
      <c r="AK25" s="13">
        <v>0</v>
      </c>
      <c r="AL25" s="13">
        <v>0</v>
      </c>
      <c r="AM25" s="13">
        <v>0</v>
      </c>
      <c r="AN25" s="13">
        <v>58.840771953397002</v>
      </c>
      <c r="AO25" s="13">
        <v>9.1440108775127094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106.68291750767401</v>
      </c>
      <c r="AV25" s="13">
        <v>0</v>
      </c>
      <c r="AW25" s="13">
        <v>0</v>
      </c>
      <c r="AX25" s="13">
        <v>283.00160780920902</v>
      </c>
      <c r="AY25" s="13">
        <v>0</v>
      </c>
      <c r="AZ25" s="13">
        <v>0</v>
      </c>
      <c r="BA25" s="13">
        <v>16.773845384531398</v>
      </c>
      <c r="BB25" s="13">
        <v>0</v>
      </c>
      <c r="BC25" s="13">
        <v>0</v>
      </c>
      <c r="BD25" s="13">
        <v>0</v>
      </c>
    </row>
    <row r="26" spans="1:56" ht="11.25" customHeight="1" x14ac:dyDescent="0.25">
      <c r="A26" s="93"/>
      <c r="B26" s="93"/>
      <c r="C26" s="93"/>
      <c r="D26" s="17" t="s">
        <v>29</v>
      </c>
      <c r="E26" s="17" t="s">
        <v>25</v>
      </c>
      <c r="F26" s="17" t="s">
        <v>25</v>
      </c>
      <c r="G26" s="18" t="s">
        <v>77</v>
      </c>
      <c r="H26" s="18" t="s">
        <v>70</v>
      </c>
      <c r="I26" s="18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0.64409435908230828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42.834353627539549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100.26983409906123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4.3846829146774482</v>
      </c>
      <c r="AE26" s="13">
        <f>('TUSD BE'!$AI$26+'TUSD BF'!$AI$26+'TUSD CVA'!$AI$26)*(1 - 0.65)</f>
        <v>0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0.56608753160450598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37.339021127685797</v>
      </c>
      <c r="AV26" s="13">
        <v>0</v>
      </c>
      <c r="AW26" s="13">
        <v>0</v>
      </c>
      <c r="AX26" s="13">
        <v>99.050562733223103</v>
      </c>
      <c r="AY26" s="13">
        <v>0</v>
      </c>
      <c r="AZ26" s="13">
        <v>0</v>
      </c>
      <c r="BA26" s="13">
        <v>5.8708458845859797</v>
      </c>
      <c r="BB26" s="13">
        <v>0</v>
      </c>
      <c r="BC26" s="13">
        <v>0</v>
      </c>
      <c r="BD26" s="13">
        <v>0</v>
      </c>
    </row>
    <row r="27" spans="1:56" ht="11.25" customHeight="1" x14ac:dyDescent="0.25">
      <c r="A27" s="93"/>
      <c r="B27" s="93"/>
      <c r="C27" s="93"/>
      <c r="D27" s="17" t="s">
        <v>30</v>
      </c>
      <c r="E27" s="17" t="s">
        <v>25</v>
      </c>
      <c r="F27" s="17" t="s">
        <v>25</v>
      </c>
      <c r="G27" s="18" t="s">
        <v>77</v>
      </c>
      <c r="H27" s="18" t="s">
        <v>70</v>
      </c>
      <c r="I27" s="18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1.1041617584268142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73.430320504353517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171.89114416981926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7.5165992823041972</v>
      </c>
      <c r="AE27" s="13">
        <f>('TUSD BE'!$AI$27+'TUSD BF'!$AI$27+'TUSD CVA'!$AI$27)*(1 - 0.4)</f>
        <v>0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0.97043576846486801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64.009750504604199</v>
      </c>
      <c r="AV27" s="13">
        <v>0</v>
      </c>
      <c r="AW27" s="13">
        <v>0</v>
      </c>
      <c r="AX27" s="13">
        <v>169.800964685525</v>
      </c>
      <c r="AY27" s="13">
        <v>0</v>
      </c>
      <c r="AZ27" s="13">
        <v>0</v>
      </c>
      <c r="BA27" s="13">
        <v>10.0643072307188</v>
      </c>
      <c r="BB27" s="13">
        <v>0</v>
      </c>
      <c r="BC27" s="13">
        <v>0</v>
      </c>
      <c r="BD27" s="13">
        <v>0</v>
      </c>
    </row>
    <row r="28" spans="1:56" ht="11.25" customHeight="1" x14ac:dyDescent="0.25">
      <c r="A28" s="93"/>
      <c r="B28" s="93"/>
      <c r="C28" s="93"/>
      <c r="D28" s="17" t="s">
        <v>31</v>
      </c>
      <c r="E28" s="17" t="s">
        <v>25</v>
      </c>
      <c r="F28" s="17" t="s">
        <v>25</v>
      </c>
      <c r="G28" s="18" t="s">
        <v>77</v>
      </c>
      <c r="H28" s="18" t="s">
        <v>70</v>
      </c>
      <c r="I28" s="18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1.6562426376402213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110.14548075653029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257.83671625472891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11.274898923456297</v>
      </c>
      <c r="AE28" s="13">
        <f>('TUSD BE'!$AI$28+'TUSD BF'!$AI$28+'TUSD CVA'!$AI$28)*(1 - 0.1)</f>
        <v>0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1.4556536526973001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96.014625756906298</v>
      </c>
      <c r="AV28" s="13">
        <v>0</v>
      </c>
      <c r="AW28" s="13">
        <v>0</v>
      </c>
      <c r="AX28" s="13">
        <v>254.70144702828799</v>
      </c>
      <c r="AY28" s="13">
        <v>0</v>
      </c>
      <c r="AZ28" s="13">
        <v>0</v>
      </c>
      <c r="BA28" s="13">
        <v>15.0964608460782</v>
      </c>
      <c r="BB28" s="13">
        <v>0</v>
      </c>
      <c r="BC28" s="13">
        <v>0</v>
      </c>
      <c r="BD28" s="13">
        <v>0</v>
      </c>
    </row>
    <row r="29" spans="1:56" ht="11.25" customHeight="1" x14ac:dyDescent="0.25">
      <c r="A29" s="93"/>
      <c r="B29" s="93"/>
      <c r="C29" s="93"/>
      <c r="D29" s="17" t="s">
        <v>32</v>
      </c>
      <c r="E29" s="17" t="s">
        <v>25</v>
      </c>
      <c r="F29" s="17" t="s">
        <v>25</v>
      </c>
      <c r="G29" s="18" t="s">
        <v>77</v>
      </c>
      <c r="H29" s="18" t="s">
        <v>70</v>
      </c>
      <c r="I29" s="18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1.8402695973780236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122.38386750725587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286.48524028303211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12.527665470506996</v>
      </c>
      <c r="AE29" s="13">
        <f>('TUSD BE'!$AI$29+'TUSD BF'!$AI$29+'TUSD CVA'!$AI$29)*1</f>
        <v>0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1.6173929474414499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106.68291750767401</v>
      </c>
      <c r="AV29" s="13">
        <v>0</v>
      </c>
      <c r="AW29" s="13">
        <v>0</v>
      </c>
      <c r="AX29" s="13">
        <v>283.00160780920902</v>
      </c>
      <c r="AY29" s="13">
        <v>0</v>
      </c>
      <c r="AZ29" s="13">
        <v>0</v>
      </c>
      <c r="BA29" s="13">
        <v>16.773845384531398</v>
      </c>
      <c r="BB29" s="13">
        <v>0</v>
      </c>
      <c r="BC29" s="13">
        <v>0</v>
      </c>
      <c r="BD29" s="13">
        <v>0</v>
      </c>
    </row>
    <row r="30" spans="1:56" ht="11.25" customHeight="1" x14ac:dyDescent="0.25">
      <c r="A30" s="93" t="s">
        <v>40</v>
      </c>
      <c r="B30" s="93" t="s">
        <v>85</v>
      </c>
      <c r="C30" s="93" t="s">
        <v>41</v>
      </c>
      <c r="D30" s="93" t="s">
        <v>25</v>
      </c>
      <c r="E30" s="93" t="s">
        <v>25</v>
      </c>
      <c r="F30" s="93" t="s">
        <v>25</v>
      </c>
      <c r="G30" s="18" t="s">
        <v>71</v>
      </c>
      <c r="H30" s="18" t="s">
        <v>70</v>
      </c>
      <c r="I30" s="18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1.7298534215353421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86.437088458427596</v>
      </c>
      <c r="R30" s="13">
        <f>('TUSD BE'!$R$30+'TUSD BF'!$R$30+'TUSD CVA'!$R$30)*(1 - CUSTOS!$M$38)</f>
        <v>13.650964421228963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396.99043511626456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794.42337894870593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11.776005542276575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1.4233057937484701</v>
      </c>
      <c r="AK30" s="13">
        <v>0</v>
      </c>
      <c r="AL30" s="13">
        <v>0</v>
      </c>
      <c r="AM30" s="13">
        <v>0</v>
      </c>
      <c r="AN30" s="13">
        <v>51.779879318989302</v>
      </c>
      <c r="AO30" s="13">
        <v>8.0467295722111896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323.97060560773701</v>
      </c>
      <c r="AV30" s="13">
        <v>0</v>
      </c>
      <c r="AW30" s="13">
        <v>0</v>
      </c>
      <c r="AX30" s="13">
        <v>734.67198708035301</v>
      </c>
      <c r="AY30" s="13">
        <v>0</v>
      </c>
      <c r="AZ30" s="13">
        <v>0</v>
      </c>
      <c r="BA30" s="13">
        <v>14.7609839383876</v>
      </c>
      <c r="BB30" s="13">
        <v>0</v>
      </c>
      <c r="BC30" s="13">
        <v>0</v>
      </c>
      <c r="BD30" s="13">
        <v>0</v>
      </c>
    </row>
    <row r="31" spans="1:56" ht="11.25" customHeight="1" x14ac:dyDescent="0.25">
      <c r="A31" s="93"/>
      <c r="B31" s="93"/>
      <c r="C31" s="93"/>
      <c r="D31" s="93"/>
      <c r="E31" s="93"/>
      <c r="F31" s="93"/>
      <c r="G31" s="18" t="s">
        <v>83</v>
      </c>
      <c r="H31" s="18" t="s">
        <v>70</v>
      </c>
      <c r="I31" s="18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1.7298534215353421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86.437088458427596</v>
      </c>
      <c r="R31" s="13">
        <f>('TUSD BE'!$R$31+'TUSD BF'!$R$31+'TUSD CVA'!$R$31)*(1 - CUSTOS!$M$38)</f>
        <v>13.650964421228963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238.14871112280139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476.65391745142807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11.776005542276575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1.4233057937484701</v>
      </c>
      <c r="AK31" s="13">
        <v>0</v>
      </c>
      <c r="AL31" s="13">
        <v>0</v>
      </c>
      <c r="AM31" s="13">
        <v>0</v>
      </c>
      <c r="AN31" s="13">
        <v>51.779879318989302</v>
      </c>
      <c r="AO31" s="13">
        <v>8.0467295722111896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194.34522281760999</v>
      </c>
      <c r="AV31" s="13">
        <v>0</v>
      </c>
      <c r="AW31" s="13">
        <v>0</v>
      </c>
      <c r="AX31" s="13">
        <v>440.80305639922699</v>
      </c>
      <c r="AY31" s="13">
        <v>0</v>
      </c>
      <c r="AZ31" s="13">
        <v>0</v>
      </c>
      <c r="BA31" s="13">
        <v>14.7609839383876</v>
      </c>
      <c r="BB31" s="13">
        <v>0</v>
      </c>
      <c r="BC31" s="13">
        <v>0</v>
      </c>
      <c r="BD31" s="13">
        <v>0</v>
      </c>
    </row>
    <row r="32" spans="1:56" ht="11.25" customHeight="1" x14ac:dyDescent="0.25">
      <c r="A32" s="93"/>
      <c r="B32" s="93"/>
      <c r="C32" s="93"/>
      <c r="D32" s="93"/>
      <c r="E32" s="93"/>
      <c r="F32" s="93"/>
      <c r="G32" s="18" t="s">
        <v>72</v>
      </c>
      <c r="H32" s="18" t="s">
        <v>70</v>
      </c>
      <c r="I32" s="18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1.7298534215353421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86.437088458427596</v>
      </c>
      <c r="R32" s="13">
        <f>('TUSD BE'!$R$32+'TUSD BF'!$R$32+'TUSD CVA'!$R$32)*(1 - CUSTOS!$M$38)</f>
        <v>13.650964421228963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79.363977725904817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158.88459335139453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11.776005542276575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1.4233057937484701</v>
      </c>
      <c r="AK32" s="13">
        <v>0</v>
      </c>
      <c r="AL32" s="13">
        <v>0</v>
      </c>
      <c r="AM32" s="13">
        <v>0</v>
      </c>
      <c r="AN32" s="13">
        <v>51.779879318989302</v>
      </c>
      <c r="AO32" s="13">
        <v>8.0467295722111896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64.766307725466504</v>
      </c>
      <c r="AV32" s="13">
        <v>0</v>
      </c>
      <c r="AW32" s="13">
        <v>0</v>
      </c>
      <c r="AX32" s="13">
        <v>146.93432949157801</v>
      </c>
      <c r="AY32" s="13">
        <v>0</v>
      </c>
      <c r="AZ32" s="13">
        <v>0</v>
      </c>
      <c r="BA32" s="13">
        <v>14.7609839383876</v>
      </c>
      <c r="BB32" s="13">
        <v>0</v>
      </c>
      <c r="BC32" s="13">
        <v>0</v>
      </c>
      <c r="BD32" s="13">
        <v>0</v>
      </c>
    </row>
    <row r="33" spans="1:56" ht="11.25" customHeight="1" x14ac:dyDescent="0.25">
      <c r="A33" s="93"/>
      <c r="B33" s="17" t="s">
        <v>23</v>
      </c>
      <c r="C33" s="17" t="s">
        <v>41</v>
      </c>
      <c r="D33" s="17" t="s">
        <v>25</v>
      </c>
      <c r="E33" s="17" t="s">
        <v>25</v>
      </c>
      <c r="F33" s="17" t="s">
        <v>25</v>
      </c>
      <c r="G33" s="18" t="s">
        <v>77</v>
      </c>
      <c r="H33" s="18" t="s">
        <v>70</v>
      </c>
      <c r="I33" s="18">
        <f>'MERCADO TUSD'!$U$30</f>
        <v>3283.42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1.7298534215353421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86.437088458427596</v>
      </c>
      <c r="R33" s="13">
        <f>('TUSD BE'!$R$33+'TUSD BF'!$R$33+'TUSD CVA'!$R$33)*(1 - CUSTOS!$M$38)</f>
        <v>13.650964421228963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115.04083545682052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269.29612586605015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11.776005542276575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1.4233057937484701</v>
      </c>
      <c r="AK33" s="13">
        <v>0</v>
      </c>
      <c r="AL33" s="13">
        <v>0</v>
      </c>
      <c r="AM33" s="13">
        <v>0</v>
      </c>
      <c r="AN33" s="13">
        <v>51.779879318989302</v>
      </c>
      <c r="AO33" s="13">
        <v>8.0467295722111896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93.880967406752802</v>
      </c>
      <c r="AV33" s="13">
        <v>0</v>
      </c>
      <c r="AW33" s="13">
        <v>0</v>
      </c>
      <c r="AX33" s="13">
        <v>249.04141487210401</v>
      </c>
      <c r="AY33" s="13">
        <v>0</v>
      </c>
      <c r="AZ33" s="13">
        <v>0</v>
      </c>
      <c r="BA33" s="13">
        <v>14.7609839383876</v>
      </c>
      <c r="BB33" s="13">
        <v>0</v>
      </c>
      <c r="BC33" s="13">
        <v>0</v>
      </c>
      <c r="BD33" s="13">
        <v>0</v>
      </c>
    </row>
    <row r="34" spans="1:56" ht="11.25" customHeight="1" x14ac:dyDescent="0.25">
      <c r="A34" s="93"/>
      <c r="B34" s="93" t="s">
        <v>85</v>
      </c>
      <c r="C34" s="93" t="s">
        <v>41</v>
      </c>
      <c r="D34" s="93" t="s">
        <v>88</v>
      </c>
      <c r="E34" s="93" t="s">
        <v>25</v>
      </c>
      <c r="F34" s="93" t="s">
        <v>25</v>
      </c>
      <c r="G34" s="18" t="s">
        <v>71</v>
      </c>
      <c r="H34" s="18" t="s">
        <v>70</v>
      </c>
      <c r="I34" s="18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1.7298534215353421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86.437088458427596</v>
      </c>
      <c r="R34" s="13">
        <f>('TUSD BE'!$R$34+'TUSD BF'!$R$34+'TUSD CVA'!$R$34)*(1 - CUSTOS!$M$39)</f>
        <v>13.650964421228963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396.99043511626456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794.42337894870593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11.776005542276575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1.4233057937484701</v>
      </c>
      <c r="AK34" s="13">
        <v>0</v>
      </c>
      <c r="AL34" s="13">
        <v>0</v>
      </c>
      <c r="AM34" s="13">
        <v>0</v>
      </c>
      <c r="AN34" s="13">
        <v>51.779879318989302</v>
      </c>
      <c r="AO34" s="13">
        <v>8.0467295722111896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323.97060560773701</v>
      </c>
      <c r="AV34" s="13">
        <v>0</v>
      </c>
      <c r="AW34" s="13">
        <v>0</v>
      </c>
      <c r="AX34" s="13">
        <v>734.67198708035301</v>
      </c>
      <c r="AY34" s="13">
        <v>0</v>
      </c>
      <c r="AZ34" s="13">
        <v>0</v>
      </c>
      <c r="BA34" s="13">
        <v>14.7609839383876</v>
      </c>
      <c r="BB34" s="13">
        <v>0</v>
      </c>
      <c r="BC34" s="13">
        <v>0</v>
      </c>
      <c r="BD34" s="13">
        <v>0</v>
      </c>
    </row>
    <row r="35" spans="1:56" ht="11.25" customHeight="1" x14ac:dyDescent="0.25">
      <c r="A35" s="93"/>
      <c r="B35" s="93"/>
      <c r="C35" s="93"/>
      <c r="D35" s="93"/>
      <c r="E35" s="93"/>
      <c r="F35" s="93"/>
      <c r="G35" s="18" t="s">
        <v>83</v>
      </c>
      <c r="H35" s="18" t="s">
        <v>70</v>
      </c>
      <c r="I35" s="18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1.7298534215353421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86.437088458427596</v>
      </c>
      <c r="R35" s="13">
        <f>('TUSD BE'!$R$35+'TUSD BF'!$R$35+'TUSD CVA'!$R$35)*(1 - CUSTOS!$M$39)</f>
        <v>13.650964421228963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238.14871112280139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476.65391745142807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11.776005542276575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1.4233057937484701</v>
      </c>
      <c r="AK35" s="13">
        <v>0</v>
      </c>
      <c r="AL35" s="13">
        <v>0</v>
      </c>
      <c r="AM35" s="13">
        <v>0</v>
      </c>
      <c r="AN35" s="13">
        <v>51.779879318989302</v>
      </c>
      <c r="AO35" s="13">
        <v>8.0467295722111896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194.34522281760999</v>
      </c>
      <c r="AV35" s="13">
        <v>0</v>
      </c>
      <c r="AW35" s="13">
        <v>0</v>
      </c>
      <c r="AX35" s="13">
        <v>440.80305639922699</v>
      </c>
      <c r="AY35" s="13">
        <v>0</v>
      </c>
      <c r="AZ35" s="13">
        <v>0</v>
      </c>
      <c r="BA35" s="13">
        <v>14.7609839383876</v>
      </c>
      <c r="BB35" s="13">
        <v>0</v>
      </c>
      <c r="BC35" s="13">
        <v>0</v>
      </c>
      <c r="BD35" s="13">
        <v>0</v>
      </c>
    </row>
    <row r="36" spans="1:56" ht="11.25" customHeight="1" x14ac:dyDescent="0.25">
      <c r="A36" s="93"/>
      <c r="B36" s="93"/>
      <c r="C36" s="93"/>
      <c r="D36" s="93"/>
      <c r="E36" s="93"/>
      <c r="F36" s="93"/>
      <c r="G36" s="18" t="s">
        <v>72</v>
      </c>
      <c r="H36" s="18" t="s">
        <v>70</v>
      </c>
      <c r="I36" s="18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1.7298534215353421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86.437088458427596</v>
      </c>
      <c r="R36" s="13">
        <f>('TUSD BE'!$R$36+'TUSD BF'!$R$36+'TUSD CVA'!$R$36)*(1 - CUSTOS!$M$39)</f>
        <v>13.650964421228963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79.363977725904817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158.88459335139453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11.776005542276575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1.4233057937484701</v>
      </c>
      <c r="AK36" s="13">
        <v>0</v>
      </c>
      <c r="AL36" s="13">
        <v>0</v>
      </c>
      <c r="AM36" s="13">
        <v>0</v>
      </c>
      <c r="AN36" s="13">
        <v>51.779879318989302</v>
      </c>
      <c r="AO36" s="13">
        <v>8.0467295722111896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64.766307725466504</v>
      </c>
      <c r="AV36" s="13">
        <v>0</v>
      </c>
      <c r="AW36" s="13">
        <v>0</v>
      </c>
      <c r="AX36" s="13">
        <v>146.93432949157801</v>
      </c>
      <c r="AY36" s="13">
        <v>0</v>
      </c>
      <c r="AZ36" s="13">
        <v>0</v>
      </c>
      <c r="BA36" s="13">
        <v>14.7609839383876</v>
      </c>
      <c r="BB36" s="13">
        <v>0</v>
      </c>
      <c r="BC36" s="13">
        <v>0</v>
      </c>
      <c r="BD36" s="13">
        <v>0</v>
      </c>
    </row>
    <row r="37" spans="1:56" ht="11.25" customHeight="1" x14ac:dyDescent="0.25">
      <c r="A37" s="93"/>
      <c r="B37" s="17" t="s">
        <v>23</v>
      </c>
      <c r="C37" s="17" t="s">
        <v>41</v>
      </c>
      <c r="D37" s="17" t="s">
        <v>88</v>
      </c>
      <c r="E37" s="17" t="s">
        <v>25</v>
      </c>
      <c r="F37" s="17" t="s">
        <v>25</v>
      </c>
      <c r="G37" s="18" t="s">
        <v>77</v>
      </c>
      <c r="H37" s="18" t="s">
        <v>70</v>
      </c>
      <c r="I37" s="18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1.7298534215353421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86.437088458427596</v>
      </c>
      <c r="R37" s="13">
        <f>('TUSD BE'!$R$37+'TUSD BF'!$R$37+'TUSD CVA'!$R$37)*(1 - CUSTOS!$M$39)</f>
        <v>13.650964421228963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115.04083545682052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269.29612586605015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11.776005542276575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1.4233057937484701</v>
      </c>
      <c r="AK37" s="13">
        <v>0</v>
      </c>
      <c r="AL37" s="13">
        <v>0</v>
      </c>
      <c r="AM37" s="13">
        <v>0</v>
      </c>
      <c r="AN37" s="13">
        <v>51.779879318989302</v>
      </c>
      <c r="AO37" s="13">
        <v>8.0467295722111896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93.880967406752802</v>
      </c>
      <c r="AV37" s="13">
        <v>0</v>
      </c>
      <c r="AW37" s="13">
        <v>0</v>
      </c>
      <c r="AX37" s="13">
        <v>249.04141487210401</v>
      </c>
      <c r="AY37" s="13">
        <v>0</v>
      </c>
      <c r="AZ37" s="13">
        <v>0</v>
      </c>
      <c r="BA37" s="13">
        <v>14.7609839383876</v>
      </c>
      <c r="BB37" s="13">
        <v>0</v>
      </c>
      <c r="BC37" s="13">
        <v>0</v>
      </c>
      <c r="BD37" s="13">
        <v>0</v>
      </c>
    </row>
    <row r="38" spans="1:56" ht="11.25" customHeight="1" x14ac:dyDescent="0.25">
      <c r="A38" s="93"/>
      <c r="B38" s="93" t="s">
        <v>85</v>
      </c>
      <c r="C38" s="93" t="s">
        <v>41</v>
      </c>
      <c r="D38" s="93" t="s">
        <v>89</v>
      </c>
      <c r="E38" s="93" t="s">
        <v>25</v>
      </c>
      <c r="F38" s="93" t="s">
        <v>25</v>
      </c>
      <c r="G38" s="18" t="s">
        <v>71</v>
      </c>
      <c r="H38" s="18" t="s">
        <v>70</v>
      </c>
      <c r="I38" s="18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1.6930480295877819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84.598001469950432</v>
      </c>
      <c r="R38" s="13">
        <f>('TUSD BE'!$R$38+'TUSD BF'!$R$38+'TUSD CVA'!$R$38)*(1 - CUSTOS!$M$40)</f>
        <v>13.360518369713454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388.54383011379088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777.52075386469107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11.525452232866437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1.35861007585081</v>
      </c>
      <c r="AK38" s="13">
        <v>0</v>
      </c>
      <c r="AL38" s="13">
        <v>0</v>
      </c>
      <c r="AM38" s="13">
        <v>0</v>
      </c>
      <c r="AN38" s="13">
        <v>49.426248440853499</v>
      </c>
      <c r="AO38" s="13">
        <v>7.6809691371106803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309.244668989204</v>
      </c>
      <c r="AV38" s="13">
        <v>0</v>
      </c>
      <c r="AW38" s="13">
        <v>0</v>
      </c>
      <c r="AX38" s="13">
        <v>701.27780584942798</v>
      </c>
      <c r="AY38" s="13">
        <v>0</v>
      </c>
      <c r="AZ38" s="13">
        <v>0</v>
      </c>
      <c r="BA38" s="13">
        <v>14.090030123006301</v>
      </c>
      <c r="BB38" s="13">
        <v>0</v>
      </c>
      <c r="BC38" s="13">
        <v>0</v>
      </c>
      <c r="BD38" s="13">
        <v>0</v>
      </c>
    </row>
    <row r="39" spans="1:56" ht="11.25" customHeight="1" x14ac:dyDescent="0.25">
      <c r="A39" s="93"/>
      <c r="B39" s="93"/>
      <c r="C39" s="93"/>
      <c r="D39" s="93"/>
      <c r="E39" s="93"/>
      <c r="F39" s="93"/>
      <c r="G39" s="18" t="s">
        <v>83</v>
      </c>
      <c r="H39" s="18" t="s">
        <v>70</v>
      </c>
      <c r="I39" s="18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1.6930480295877819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84.598001469950432</v>
      </c>
      <c r="R39" s="13">
        <f>('TUSD BE'!$R$39+'TUSD BF'!$R$39+'TUSD CVA'!$R$39)*(1 - CUSTOS!$M$40)</f>
        <v>13.360518369713454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233.08171726912479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466.51234473969561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11.525452232866437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1.35861007585081</v>
      </c>
      <c r="AK39" s="13">
        <v>0</v>
      </c>
      <c r="AL39" s="13">
        <v>0</v>
      </c>
      <c r="AM39" s="13">
        <v>0</v>
      </c>
      <c r="AN39" s="13">
        <v>49.426248440853499</v>
      </c>
      <c r="AO39" s="13">
        <v>7.6809691371106803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185.51134905317301</v>
      </c>
      <c r="AV39" s="13">
        <v>0</v>
      </c>
      <c r="AW39" s="13">
        <v>0</v>
      </c>
      <c r="AX39" s="13">
        <v>420.76655383562598</v>
      </c>
      <c r="AY39" s="13">
        <v>0</v>
      </c>
      <c r="AZ39" s="13">
        <v>0</v>
      </c>
      <c r="BA39" s="13">
        <v>14.090030123006301</v>
      </c>
      <c r="BB39" s="13">
        <v>0</v>
      </c>
      <c r="BC39" s="13">
        <v>0</v>
      </c>
      <c r="BD39" s="13">
        <v>0</v>
      </c>
    </row>
    <row r="40" spans="1:56" ht="11.25" customHeight="1" x14ac:dyDescent="0.25">
      <c r="A40" s="93"/>
      <c r="B40" s="93"/>
      <c r="C40" s="93"/>
      <c r="D40" s="93"/>
      <c r="E40" s="93"/>
      <c r="F40" s="93"/>
      <c r="G40" s="18" t="s">
        <v>72</v>
      </c>
      <c r="H40" s="18" t="s">
        <v>70</v>
      </c>
      <c r="I40" s="18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1.6930480295877819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84.598001469950432</v>
      </c>
      <c r="R40" s="13">
        <f>('TUSD BE'!$R$40+'TUSD BF'!$R$40+'TUSD CVA'!$R$40)*(1 - CUSTOS!$M$40)</f>
        <v>13.360518369713454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77.675382455140891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155.50407008859892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11.525452232866437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1.35861007585081</v>
      </c>
      <c r="AK40" s="13">
        <v>0</v>
      </c>
      <c r="AL40" s="13">
        <v>0</v>
      </c>
      <c r="AM40" s="13">
        <v>0</v>
      </c>
      <c r="AN40" s="13">
        <v>49.426248440853499</v>
      </c>
      <c r="AO40" s="13">
        <v>7.6809691371106803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61.822384647036202</v>
      </c>
      <c r="AV40" s="13">
        <v>0</v>
      </c>
      <c r="AW40" s="13">
        <v>0</v>
      </c>
      <c r="AX40" s="13">
        <v>140.25549633287</v>
      </c>
      <c r="AY40" s="13">
        <v>0</v>
      </c>
      <c r="AZ40" s="13">
        <v>0</v>
      </c>
      <c r="BA40" s="13">
        <v>14.090030123006301</v>
      </c>
      <c r="BB40" s="13">
        <v>0</v>
      </c>
      <c r="BC40" s="13">
        <v>0</v>
      </c>
      <c r="BD40" s="13">
        <v>0</v>
      </c>
    </row>
    <row r="41" spans="1:56" ht="11.25" customHeight="1" x14ac:dyDescent="0.25">
      <c r="A41" s="93"/>
      <c r="B41" s="17" t="s">
        <v>23</v>
      </c>
      <c r="C41" s="17" t="s">
        <v>41</v>
      </c>
      <c r="D41" s="17" t="s">
        <v>89</v>
      </c>
      <c r="E41" s="17" t="s">
        <v>25</v>
      </c>
      <c r="F41" s="17" t="s">
        <v>25</v>
      </c>
      <c r="G41" s="18" t="s">
        <v>77</v>
      </c>
      <c r="H41" s="18" t="s">
        <v>70</v>
      </c>
      <c r="I41" s="18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1.6930480295877819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84.598001469950432</v>
      </c>
      <c r="R41" s="13">
        <f>('TUSD BE'!$R$41+'TUSD BF'!$R$41+'TUSD CVA'!$R$41)*(1 - CUSTOS!$M$40)</f>
        <v>13.360518369713454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112.5931581066754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263.56642106038953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11.525452232866437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1.35861007585081</v>
      </c>
      <c r="AK41" s="13">
        <v>0</v>
      </c>
      <c r="AL41" s="13">
        <v>0</v>
      </c>
      <c r="AM41" s="13">
        <v>0</v>
      </c>
      <c r="AN41" s="13">
        <v>49.426248440853499</v>
      </c>
      <c r="AO41" s="13">
        <v>7.6809691371106803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89.613650706445796</v>
      </c>
      <c r="AV41" s="13">
        <v>0</v>
      </c>
      <c r="AW41" s="13">
        <v>0</v>
      </c>
      <c r="AX41" s="13">
        <v>237.72135055973601</v>
      </c>
      <c r="AY41" s="13">
        <v>0</v>
      </c>
      <c r="AZ41" s="13">
        <v>0</v>
      </c>
      <c r="BA41" s="13">
        <v>14.090030123006301</v>
      </c>
      <c r="BB41" s="13">
        <v>0</v>
      </c>
      <c r="BC41" s="13">
        <v>0</v>
      </c>
      <c r="BD41" s="13">
        <v>0</v>
      </c>
    </row>
    <row r="42" spans="1:56" ht="11.25" customHeight="1" x14ac:dyDescent="0.25">
      <c r="A42" s="93"/>
      <c r="B42" s="93" t="s">
        <v>87</v>
      </c>
      <c r="C42" s="93" t="s">
        <v>41</v>
      </c>
      <c r="D42" s="17" t="s">
        <v>25</v>
      </c>
      <c r="E42" s="17" t="s">
        <v>25</v>
      </c>
      <c r="F42" s="17" t="s">
        <v>25</v>
      </c>
      <c r="G42" s="18" t="s">
        <v>77</v>
      </c>
      <c r="H42" s="18" t="s">
        <v>70</v>
      </c>
      <c r="I42" s="18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1.7298534215353421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86.437088458427596</v>
      </c>
      <c r="R42" s="13">
        <f>('TUSD BE'!$R$42+'TUSD BF'!$R$42+'TUSD CVA'!$R$42)*(1 - CUSTOS!$M$38)</f>
        <v>13.650964421228963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115.04083545682052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269.29612586605015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11.776005542276575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1.4233057937484701</v>
      </c>
      <c r="AK42" s="13">
        <v>0</v>
      </c>
      <c r="AL42" s="13">
        <v>0</v>
      </c>
      <c r="AM42" s="13">
        <v>0</v>
      </c>
      <c r="AN42" s="13">
        <v>51.779879318989302</v>
      </c>
      <c r="AO42" s="13">
        <v>8.0467295722111896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93.880967406752802</v>
      </c>
      <c r="AV42" s="13">
        <v>0</v>
      </c>
      <c r="AW42" s="13">
        <v>0</v>
      </c>
      <c r="AX42" s="13">
        <v>249.04141487210401</v>
      </c>
      <c r="AY42" s="13">
        <v>0</v>
      </c>
      <c r="AZ42" s="13">
        <v>0</v>
      </c>
      <c r="BA42" s="13">
        <v>14.7609839383876</v>
      </c>
      <c r="BB42" s="13">
        <v>0</v>
      </c>
      <c r="BC42" s="13">
        <v>0</v>
      </c>
      <c r="BD42" s="13">
        <v>0</v>
      </c>
    </row>
    <row r="43" spans="1:56" ht="11.25" customHeight="1" x14ac:dyDescent="0.25">
      <c r="A43" s="93"/>
      <c r="B43" s="93"/>
      <c r="C43" s="93"/>
      <c r="D43" s="17" t="s">
        <v>88</v>
      </c>
      <c r="E43" s="17" t="s">
        <v>25</v>
      </c>
      <c r="F43" s="17" t="s">
        <v>25</v>
      </c>
      <c r="G43" s="18" t="s">
        <v>77</v>
      </c>
      <c r="H43" s="18" t="s">
        <v>70</v>
      </c>
      <c r="I43" s="18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1.7298534215353421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86.437088458427596</v>
      </c>
      <c r="R43" s="13">
        <f>('TUSD BE'!$R$43+'TUSD BF'!$R$43+'TUSD CVA'!$R$43)*(1 - CUSTOS!$M$39)</f>
        <v>13.650964421228963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115.04083545682052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269.29612586605015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11.776005542276575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1.4233057937484701</v>
      </c>
      <c r="AK43" s="13">
        <v>0</v>
      </c>
      <c r="AL43" s="13">
        <v>0</v>
      </c>
      <c r="AM43" s="13">
        <v>0</v>
      </c>
      <c r="AN43" s="13">
        <v>51.779879318989302</v>
      </c>
      <c r="AO43" s="13">
        <v>8.0467295722111896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93.880967406752802</v>
      </c>
      <c r="AV43" s="13">
        <v>0</v>
      </c>
      <c r="AW43" s="13">
        <v>0</v>
      </c>
      <c r="AX43" s="13">
        <v>249.04141487210401</v>
      </c>
      <c r="AY43" s="13">
        <v>0</v>
      </c>
      <c r="AZ43" s="13">
        <v>0</v>
      </c>
      <c r="BA43" s="13">
        <v>14.7609839383876</v>
      </c>
      <c r="BB43" s="13">
        <v>0</v>
      </c>
      <c r="BC43" s="13">
        <v>0</v>
      </c>
      <c r="BD43" s="13">
        <v>0</v>
      </c>
    </row>
    <row r="44" spans="1:56" ht="11.25" customHeight="1" x14ac:dyDescent="0.25">
      <c r="A44" s="93"/>
      <c r="B44" s="93"/>
      <c r="C44" s="93"/>
      <c r="D44" s="17" t="s">
        <v>89</v>
      </c>
      <c r="E44" s="17" t="s">
        <v>25</v>
      </c>
      <c r="F44" s="17" t="s">
        <v>25</v>
      </c>
      <c r="G44" s="18" t="s">
        <v>77</v>
      </c>
      <c r="H44" s="18" t="s">
        <v>70</v>
      </c>
      <c r="I44" s="18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1.6930480295877819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84.598001469950432</v>
      </c>
      <c r="R44" s="13">
        <f>('TUSD BE'!$R$44+'TUSD BF'!$R$44+'TUSD CVA'!$R$44)*(1 - CUSTOS!$M$40)</f>
        <v>13.360518369713454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112.5931581066754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263.56642106038953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11.525452232866437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1.35861007585081</v>
      </c>
      <c r="AK44" s="13">
        <v>0</v>
      </c>
      <c r="AL44" s="13">
        <v>0</v>
      </c>
      <c r="AM44" s="13">
        <v>0</v>
      </c>
      <c r="AN44" s="13">
        <v>49.426248440853499</v>
      </c>
      <c r="AO44" s="13">
        <v>7.6809691371106803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89.613650706445796</v>
      </c>
      <c r="AV44" s="13">
        <v>0</v>
      </c>
      <c r="AW44" s="13">
        <v>0</v>
      </c>
      <c r="AX44" s="13">
        <v>237.72135055973601</v>
      </c>
      <c r="AY44" s="13">
        <v>0</v>
      </c>
      <c r="AZ44" s="13">
        <v>0</v>
      </c>
      <c r="BA44" s="13">
        <v>14.090030123006301</v>
      </c>
      <c r="BB44" s="13">
        <v>0</v>
      </c>
      <c r="BC44" s="13">
        <v>0</v>
      </c>
      <c r="BD44" s="13">
        <v>0</v>
      </c>
    </row>
    <row r="45" spans="1:56" ht="11.25" customHeight="1" x14ac:dyDescent="0.25">
      <c r="A45" s="93" t="s">
        <v>33</v>
      </c>
      <c r="B45" s="93" t="s">
        <v>85</v>
      </c>
      <c r="C45" s="93" t="s">
        <v>25</v>
      </c>
      <c r="D45" s="93" t="s">
        <v>25</v>
      </c>
      <c r="E45" s="93" t="s">
        <v>25</v>
      </c>
      <c r="F45" s="93" t="s">
        <v>25</v>
      </c>
      <c r="G45" s="18" t="s">
        <v>71</v>
      </c>
      <c r="H45" s="18" t="s">
        <v>70</v>
      </c>
      <c r="I45" s="18">
        <f>'MERCADO TUSD'!$U$42</f>
        <v>0</v>
      </c>
      <c r="J45" s="15"/>
      <c r="L45" s="13">
        <f>('TUSD BE'!$L$45+'TUSD BF'!$L$45+'TUSD CVA'!$L$45)*1</f>
        <v>0</v>
      </c>
      <c r="M45" s="13">
        <f>('TUSD BE'!$M$45+'TUSD BF'!$M$45+'TUSD CVA'!$M$45)*1</f>
        <v>1.8402695973780236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91.954349423859156</v>
      </c>
      <c r="R45" s="13">
        <f>('TUSD BE'!$R$45+'TUSD BF'!$R$45+'TUSD CVA'!$R$45)*1</f>
        <v>14.522302575775493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422.33025012368574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988.37365509134509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12.527665470506996</v>
      </c>
      <c r="AE45" s="13">
        <f>('TUSD BE'!$AI$45+'TUSD BF'!$AI$45+'TUSD CVA'!$AI$45)*1</f>
        <v>0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1.6173929474414499</v>
      </c>
      <c r="AK45" s="13">
        <v>0</v>
      </c>
      <c r="AL45" s="13">
        <v>0</v>
      </c>
      <c r="AM45" s="13">
        <v>0</v>
      </c>
      <c r="AN45" s="13">
        <v>58.840771953397002</v>
      </c>
      <c r="AO45" s="13">
        <v>9.1440108775127094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368.14841546333798</v>
      </c>
      <c r="AV45" s="13">
        <v>0</v>
      </c>
      <c r="AW45" s="13">
        <v>0</v>
      </c>
      <c r="AX45" s="13">
        <v>976.35506452350205</v>
      </c>
      <c r="AY45" s="13">
        <v>0</v>
      </c>
      <c r="AZ45" s="13">
        <v>0</v>
      </c>
      <c r="BA45" s="13">
        <v>16.773845384531398</v>
      </c>
      <c r="BB45" s="13">
        <v>0</v>
      </c>
      <c r="BC45" s="13">
        <v>0</v>
      </c>
      <c r="BD45" s="13">
        <v>0</v>
      </c>
    </row>
    <row r="46" spans="1:56" ht="11.25" customHeight="1" x14ac:dyDescent="0.25">
      <c r="A46" s="93"/>
      <c r="B46" s="93"/>
      <c r="C46" s="93"/>
      <c r="D46" s="93"/>
      <c r="E46" s="93"/>
      <c r="F46" s="93"/>
      <c r="G46" s="18" t="s">
        <v>83</v>
      </c>
      <c r="H46" s="18" t="s">
        <v>70</v>
      </c>
      <c r="I46" s="18">
        <f>'MERCADO TUSD'!$U$43</f>
        <v>0</v>
      </c>
      <c r="J46" s="15"/>
      <c r="L46" s="13">
        <f>('TUSD BE'!$L$46+'TUSD BF'!$L$46+'TUSD CVA'!$L$46)*1</f>
        <v>0</v>
      </c>
      <c r="M46" s="13">
        <f>('TUSD BE'!$M$46+'TUSD BF'!$M$46+'TUSD CVA'!$M$46)*1</f>
        <v>1.8402695973780236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91.954349423859156</v>
      </c>
      <c r="R46" s="13">
        <f>('TUSD BE'!$R$46+'TUSD BF'!$R$46+'TUSD CVA'!$R$46)*1</f>
        <v>14.522302575775493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253.34969268383128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593.02411997116644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12.527665470506996</v>
      </c>
      <c r="AE46" s="13">
        <f>('TUSD BE'!$AI$46+'TUSD BF'!$AI$46+'TUSD CVA'!$AI$46)*1</f>
        <v>0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1.6173929474414499</v>
      </c>
      <c r="AK46" s="13">
        <v>0</v>
      </c>
      <c r="AL46" s="13">
        <v>0</v>
      </c>
      <c r="AM46" s="13">
        <v>0</v>
      </c>
      <c r="AN46" s="13">
        <v>58.840771953397002</v>
      </c>
      <c r="AO46" s="13">
        <v>9.1440108775127094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220.84684411091999</v>
      </c>
      <c r="AV46" s="13">
        <v>0</v>
      </c>
      <c r="AW46" s="13">
        <v>0</v>
      </c>
      <c r="AX46" s="13">
        <v>585.81300783933204</v>
      </c>
      <c r="AY46" s="13">
        <v>0</v>
      </c>
      <c r="AZ46" s="13">
        <v>0</v>
      </c>
      <c r="BA46" s="13">
        <v>16.773845384531398</v>
      </c>
      <c r="BB46" s="13">
        <v>0</v>
      </c>
      <c r="BC46" s="13">
        <v>0</v>
      </c>
      <c r="BD46" s="13">
        <v>0</v>
      </c>
    </row>
    <row r="47" spans="1:56" ht="11.25" customHeight="1" x14ac:dyDescent="0.25">
      <c r="A47" s="93"/>
      <c r="B47" s="93"/>
      <c r="C47" s="93"/>
      <c r="D47" s="93"/>
      <c r="E47" s="93"/>
      <c r="F47" s="93"/>
      <c r="G47" s="18" t="s">
        <v>72</v>
      </c>
      <c r="H47" s="18" t="s">
        <v>70</v>
      </c>
      <c r="I47" s="18">
        <f>'MERCADO TUSD'!$U$44</f>
        <v>0</v>
      </c>
      <c r="J47" s="15"/>
      <c r="L47" s="13">
        <f>('TUSD BE'!$L$47+'TUSD BF'!$L$47+'TUSD CVA'!$L$47)*1</f>
        <v>0</v>
      </c>
      <c r="M47" s="13">
        <f>('TUSD BE'!$M$47+'TUSD BF'!$M$47+'TUSD CVA'!$M$47)*1</f>
        <v>1.8402695973780236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91.954349423859156</v>
      </c>
      <c r="R47" s="13">
        <f>('TUSD BE'!$R$47+'TUSD BF'!$R$47+'TUSD CVA'!$R$47)*1</f>
        <v>14.522302575775493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84.429763538196624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197.67487718555032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12.527665470506996</v>
      </c>
      <c r="AE47" s="13">
        <f>('TUSD BE'!$AI$47+'TUSD BF'!$AI$47+'TUSD CVA'!$AI$47)*1</f>
        <v>0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1.6173929474414499</v>
      </c>
      <c r="AK47" s="13">
        <v>0</v>
      </c>
      <c r="AL47" s="13">
        <v>0</v>
      </c>
      <c r="AM47" s="13">
        <v>0</v>
      </c>
      <c r="AN47" s="13">
        <v>58.840771953397002</v>
      </c>
      <c r="AO47" s="13">
        <v>9.1440108775127094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73.598076960757396</v>
      </c>
      <c r="AV47" s="13">
        <v>0</v>
      </c>
      <c r="AW47" s="13">
        <v>0</v>
      </c>
      <c r="AX47" s="13">
        <v>195.27118271593099</v>
      </c>
      <c r="AY47" s="13">
        <v>0</v>
      </c>
      <c r="AZ47" s="13">
        <v>0</v>
      </c>
      <c r="BA47" s="13">
        <v>16.773845384531398</v>
      </c>
      <c r="BB47" s="13">
        <v>0</v>
      </c>
      <c r="BC47" s="13">
        <v>0</v>
      </c>
      <c r="BD47" s="13">
        <v>0</v>
      </c>
    </row>
    <row r="48" spans="1:56" ht="11.25" customHeight="1" x14ac:dyDescent="0.25">
      <c r="A48" s="93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77</v>
      </c>
      <c r="H48" s="18" t="s">
        <v>70</v>
      </c>
      <c r="I48" s="18">
        <f>'MERCADO TUSD'!$U$45</f>
        <v>4711.0929999999998</v>
      </c>
      <c r="J48" s="15"/>
      <c r="L48" s="13">
        <f>('TUSD BE'!$L$48+'TUSD BF'!$L$48+'TUSD CVA'!$L$48)*1</f>
        <v>0</v>
      </c>
      <c r="M48" s="13">
        <f>('TUSD BE'!$M$48+'TUSD BF'!$M$48+'TUSD CVA'!$M$48)*1</f>
        <v>1.8402695973780236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91.954349423859156</v>
      </c>
      <c r="R48" s="13">
        <f>('TUSD BE'!$R$48+'TUSD BF'!$R$48+'TUSD CVA'!$R$48)*1</f>
        <v>14.522302575775493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122.38386750725587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286.48524028303211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12.527665470506996</v>
      </c>
      <c r="AE48" s="13">
        <f>('TUSD BE'!$AI$48+'TUSD BF'!$AI$48+'TUSD CVA'!$AI$48)*1</f>
        <v>0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1.6173929474414499</v>
      </c>
      <c r="AK48" s="13">
        <v>0</v>
      </c>
      <c r="AL48" s="13">
        <v>0</v>
      </c>
      <c r="AM48" s="13">
        <v>0</v>
      </c>
      <c r="AN48" s="13">
        <v>58.840771953397002</v>
      </c>
      <c r="AO48" s="13">
        <v>9.1440108775127094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106.68291750767401</v>
      </c>
      <c r="AV48" s="13">
        <v>0</v>
      </c>
      <c r="AW48" s="13">
        <v>0</v>
      </c>
      <c r="AX48" s="13">
        <v>283.00160780920902</v>
      </c>
      <c r="AY48" s="13">
        <v>0</v>
      </c>
      <c r="AZ48" s="13">
        <v>0</v>
      </c>
      <c r="BA48" s="13">
        <v>16.773845384531398</v>
      </c>
      <c r="BB48" s="13">
        <v>0</v>
      </c>
      <c r="BC48" s="13">
        <v>0</v>
      </c>
      <c r="BD48" s="13">
        <v>0</v>
      </c>
    </row>
    <row r="49" spans="1:56" ht="11.25" customHeight="1" x14ac:dyDescent="0.25">
      <c r="A49" s="93"/>
      <c r="B49" s="17" t="s">
        <v>87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77</v>
      </c>
      <c r="H49" s="18" t="s">
        <v>70</v>
      </c>
      <c r="I49" s="18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1.8402695973780236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91.954349423859156</v>
      </c>
      <c r="R49" s="13">
        <f>('TUSD BE'!$R$49+'TUSD BF'!$R$49+'TUSD CVA'!$R$49)*1</f>
        <v>14.522302575775493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122.38386750725587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286.48524028303211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12.527665470506996</v>
      </c>
      <c r="AE49" s="13">
        <f>('TUSD BE'!$AI$49+'TUSD BF'!$AI$49+'TUSD CVA'!$AI$49)*1</f>
        <v>0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1.6173929474414499</v>
      </c>
      <c r="AK49" s="13">
        <v>0</v>
      </c>
      <c r="AL49" s="13">
        <v>0</v>
      </c>
      <c r="AM49" s="13">
        <v>0</v>
      </c>
      <c r="AN49" s="13">
        <v>58.840771953397002</v>
      </c>
      <c r="AO49" s="13">
        <v>9.1440108775127094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106.68291750767401</v>
      </c>
      <c r="AV49" s="13">
        <v>0</v>
      </c>
      <c r="AW49" s="13">
        <v>0</v>
      </c>
      <c r="AX49" s="13">
        <v>283.00160780920902</v>
      </c>
      <c r="AY49" s="13">
        <v>0</v>
      </c>
      <c r="AZ49" s="13">
        <v>0</v>
      </c>
      <c r="BA49" s="13">
        <v>16.773845384531398</v>
      </c>
      <c r="BB49" s="13">
        <v>0</v>
      </c>
      <c r="BC49" s="13">
        <v>0</v>
      </c>
      <c r="BD49" s="13">
        <v>0</v>
      </c>
    </row>
    <row r="50" spans="1:56" ht="11.25" customHeight="1" x14ac:dyDescent="0.25">
      <c r="A50" s="93" t="s">
        <v>43</v>
      </c>
      <c r="B50" s="93" t="s">
        <v>23</v>
      </c>
      <c r="C50" s="93" t="s">
        <v>44</v>
      </c>
      <c r="D50" s="17" t="s">
        <v>45</v>
      </c>
      <c r="E50" s="17" t="s">
        <v>25</v>
      </c>
      <c r="F50" s="17" t="s">
        <v>25</v>
      </c>
      <c r="G50" s="18" t="s">
        <v>77</v>
      </c>
      <c r="H50" s="18" t="s">
        <v>70</v>
      </c>
      <c r="I50" s="18">
        <f>'MERCADO TUSD'!$U$47</f>
        <v>1954.79</v>
      </c>
      <c r="J50" s="15"/>
      <c r="L50" s="13">
        <f>('TUSD BE'!$L$50+'TUSD BF'!$L$50+'TUSD CVA'!$L$50)*1</f>
        <v>0</v>
      </c>
      <c r="M50" s="13">
        <f>('TUSD BE'!$M$50+'TUSD BF'!$M$50+'TUSD CVA'!$M$50)*1</f>
        <v>1.0121482785579132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50.574892183122543</v>
      </c>
      <c r="R50" s="13">
        <f>('TUSD BE'!$R$50+'TUSD BF'!$R$50+'TUSD CVA'!$R$50)*1</f>
        <v>7.9872664166765226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67.311127128990734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157.56688215566768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6.8902160087788484</v>
      </c>
      <c r="AE50" s="13">
        <f>('TUSD BE'!$AI$50+'TUSD BF'!$AI$50+'TUSD CVA'!$AI$50)*1</f>
        <v>0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0.88956612109279498</v>
      </c>
      <c r="AK50" s="13">
        <v>0</v>
      </c>
      <c r="AL50" s="13">
        <v>0</v>
      </c>
      <c r="AM50" s="13">
        <v>0</v>
      </c>
      <c r="AN50" s="13">
        <v>32.362424574368298</v>
      </c>
      <c r="AO50" s="13">
        <v>5.0292059826319901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58.675604629220501</v>
      </c>
      <c r="AV50" s="13">
        <v>0</v>
      </c>
      <c r="AW50" s="13">
        <v>0</v>
      </c>
      <c r="AX50" s="13">
        <v>155.650884295065</v>
      </c>
      <c r="AY50" s="13">
        <v>0</v>
      </c>
      <c r="AZ50" s="13">
        <v>0</v>
      </c>
      <c r="BA50" s="13">
        <v>9.2256149614922496</v>
      </c>
      <c r="BB50" s="13">
        <v>0</v>
      </c>
      <c r="BC50" s="13">
        <v>0</v>
      </c>
      <c r="BD50" s="13">
        <v>0</v>
      </c>
    </row>
    <row r="51" spans="1:56" ht="11.25" customHeight="1" x14ac:dyDescent="0.25">
      <c r="A51" s="93"/>
      <c r="B51" s="93"/>
      <c r="C51" s="93"/>
      <c r="D51" s="18" t="s">
        <v>46</v>
      </c>
      <c r="E51" s="18" t="s">
        <v>25</v>
      </c>
      <c r="F51" s="18" t="s">
        <v>25</v>
      </c>
      <c r="G51" s="18" t="s">
        <v>77</v>
      </c>
      <c r="H51" s="18" t="s">
        <v>70</v>
      </c>
      <c r="I51" s="18">
        <f>'MERCADO TUSD'!$U$48</f>
        <v>1.4530000000000001</v>
      </c>
      <c r="J51" s="15"/>
      <c r="L51" s="13">
        <f>('TUSD BE'!$L$51+'TUSD BF'!$L$51+'TUSD CVA'!$L$51)*1</f>
        <v>0</v>
      </c>
      <c r="M51" s="13">
        <f>('TUSD BE'!$M$51+'TUSD BF'!$M$51+'TUSD CVA'!$M$51)*1</f>
        <v>1.104161758426814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55.172609654315494</v>
      </c>
      <c r="R51" s="13">
        <f>('TUSD BE'!$R$51+'TUSD BF'!$R$51+'TUSD CVA'!$R$51)*1</f>
        <v>8.7133815454652961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73.430320504353517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171.89114416981926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7.5165992823041963</v>
      </c>
      <c r="AE51" s="13">
        <f>('TUSD BE'!$AI$51+'TUSD BF'!$AI$51+'TUSD CVA'!$AI$51)*1</f>
        <v>0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0.97043576846486801</v>
      </c>
      <c r="AK51" s="13">
        <v>0</v>
      </c>
      <c r="AL51" s="13">
        <v>0</v>
      </c>
      <c r="AM51" s="13">
        <v>0</v>
      </c>
      <c r="AN51" s="13">
        <v>35.304463172038197</v>
      </c>
      <c r="AO51" s="13">
        <v>5.4864065265076301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64.009750504604199</v>
      </c>
      <c r="AV51" s="13">
        <v>0</v>
      </c>
      <c r="AW51" s="13">
        <v>0</v>
      </c>
      <c r="AX51" s="13">
        <v>169.800964685525</v>
      </c>
      <c r="AY51" s="13">
        <v>0</v>
      </c>
      <c r="AZ51" s="13">
        <v>0</v>
      </c>
      <c r="BA51" s="13">
        <v>10.0643072307188</v>
      </c>
      <c r="BB51" s="13">
        <v>0</v>
      </c>
      <c r="BC51" s="13">
        <v>0</v>
      </c>
      <c r="BD51" s="13">
        <v>0</v>
      </c>
    </row>
    <row r="53" spans="1:56" ht="11.25" customHeight="1" x14ac:dyDescent="0.25">
      <c r="L53" s="90" t="s">
        <v>654</v>
      </c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I53" s="90" t="s">
        <v>655</v>
      </c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</row>
    <row r="54" spans="1:56" ht="11.25" customHeight="1" x14ac:dyDescent="0.25">
      <c r="L54" s="90" t="s">
        <v>351</v>
      </c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I54" s="90" t="s">
        <v>351</v>
      </c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0"/>
      <c r="AZ54" s="90"/>
      <c r="BA54" s="90"/>
      <c r="BB54" s="90"/>
      <c r="BC54" s="90"/>
      <c r="BD54" s="90"/>
    </row>
    <row r="55" spans="1:56" ht="11.25" customHeight="1" x14ac:dyDescent="0.25">
      <c r="L55" s="90" t="s">
        <v>352</v>
      </c>
      <c r="M55" s="90"/>
      <c r="N55" s="90"/>
      <c r="O55" s="90"/>
      <c r="P55" s="90"/>
      <c r="Q55" s="90"/>
      <c r="R55" s="90"/>
      <c r="S55" s="90"/>
      <c r="T55" s="90" t="s">
        <v>361</v>
      </c>
      <c r="U55" s="90"/>
      <c r="V55" s="90"/>
      <c r="W55" s="90"/>
      <c r="X55" s="90"/>
      <c r="Y55" s="90"/>
      <c r="Z55" s="90"/>
      <c r="AA55" s="10" t="s">
        <v>369</v>
      </c>
      <c r="AB55" s="90" t="s">
        <v>371</v>
      </c>
      <c r="AC55" s="90"/>
      <c r="AD55" s="90" t="s">
        <v>374</v>
      </c>
      <c r="AE55" s="90"/>
      <c r="AF55" s="90"/>
      <c r="AG55" s="90"/>
      <c r="AI55" s="90" t="s">
        <v>352</v>
      </c>
      <c r="AJ55" s="90"/>
      <c r="AK55" s="90"/>
      <c r="AL55" s="90"/>
      <c r="AM55" s="90"/>
      <c r="AN55" s="90"/>
      <c r="AO55" s="90"/>
      <c r="AP55" s="90"/>
      <c r="AQ55" s="90" t="s">
        <v>361</v>
      </c>
      <c r="AR55" s="90"/>
      <c r="AS55" s="90"/>
      <c r="AT55" s="90"/>
      <c r="AU55" s="90"/>
      <c r="AV55" s="90"/>
      <c r="AW55" s="90"/>
      <c r="AX55" s="10" t="s">
        <v>369</v>
      </c>
      <c r="AY55" s="90" t="s">
        <v>371</v>
      </c>
      <c r="AZ55" s="90"/>
      <c r="BA55" s="90" t="s">
        <v>374</v>
      </c>
      <c r="BB55" s="90"/>
      <c r="BC55" s="90"/>
      <c r="BD55" s="90"/>
    </row>
    <row r="56" spans="1:56" ht="11.25" customHeight="1" x14ac:dyDescent="0.25">
      <c r="L56" s="10" t="s">
        <v>437</v>
      </c>
      <c r="M56" s="10" t="s">
        <v>353</v>
      </c>
      <c r="N56" s="10" t="s">
        <v>354</v>
      </c>
      <c r="O56" s="10" t="s">
        <v>355</v>
      </c>
      <c r="P56" s="10" t="s">
        <v>356</v>
      </c>
      <c r="Q56" s="10" t="s">
        <v>357</v>
      </c>
      <c r="R56" s="10" t="s">
        <v>358</v>
      </c>
      <c r="S56" s="10" t="s">
        <v>359</v>
      </c>
      <c r="T56" s="10" t="s">
        <v>362</v>
      </c>
      <c r="U56" s="10" t="s">
        <v>363</v>
      </c>
      <c r="V56" s="10" t="s">
        <v>364</v>
      </c>
      <c r="W56" s="10" t="s">
        <v>365</v>
      </c>
      <c r="X56" s="10" t="s">
        <v>366</v>
      </c>
      <c r="Y56" s="10" t="s">
        <v>367</v>
      </c>
      <c r="Z56" s="10" t="s">
        <v>368</v>
      </c>
      <c r="AA56" s="10" t="s">
        <v>370</v>
      </c>
      <c r="AB56" s="10" t="s">
        <v>372</v>
      </c>
      <c r="AC56" s="10" t="s">
        <v>373</v>
      </c>
      <c r="AD56" s="10" t="s">
        <v>375</v>
      </c>
      <c r="AE56" s="10" t="s">
        <v>376</v>
      </c>
      <c r="AF56" s="10" t="s">
        <v>377</v>
      </c>
      <c r="AG56" s="10" t="s">
        <v>378</v>
      </c>
      <c r="AI56" s="10" t="s">
        <v>437</v>
      </c>
      <c r="AJ56" s="10" t="s">
        <v>353</v>
      </c>
      <c r="AK56" s="10" t="s">
        <v>354</v>
      </c>
      <c r="AL56" s="10" t="s">
        <v>355</v>
      </c>
      <c r="AM56" s="10" t="s">
        <v>356</v>
      </c>
      <c r="AN56" s="10" t="s">
        <v>357</v>
      </c>
      <c r="AO56" s="10" t="s">
        <v>358</v>
      </c>
      <c r="AP56" s="10" t="s">
        <v>359</v>
      </c>
      <c r="AQ56" s="10" t="s">
        <v>362</v>
      </c>
      <c r="AR56" s="10" t="s">
        <v>363</v>
      </c>
      <c r="AS56" s="10" t="s">
        <v>364</v>
      </c>
      <c r="AT56" s="10" t="s">
        <v>365</v>
      </c>
      <c r="AU56" s="10" t="s">
        <v>366</v>
      </c>
      <c r="AV56" s="10" t="s">
        <v>367</v>
      </c>
      <c r="AW56" s="10" t="s">
        <v>368</v>
      </c>
      <c r="AX56" s="10" t="s">
        <v>370</v>
      </c>
      <c r="AY56" s="10" t="s">
        <v>372</v>
      </c>
      <c r="AZ56" s="10" t="s">
        <v>373</v>
      </c>
      <c r="BA56" s="10" t="s">
        <v>375</v>
      </c>
      <c r="BB56" s="10" t="s">
        <v>376</v>
      </c>
      <c r="BC56" s="10" t="s">
        <v>377</v>
      </c>
      <c r="BD56" s="10" t="s">
        <v>378</v>
      </c>
    </row>
    <row r="57" spans="1:56" ht="11.25" customHeight="1" x14ac:dyDescent="0.25">
      <c r="A57" s="9" t="s">
        <v>35</v>
      </c>
      <c r="B57" s="9" t="s">
        <v>656</v>
      </c>
      <c r="C57" s="9" t="s">
        <v>657</v>
      </c>
      <c r="D57" s="9" t="s">
        <v>658</v>
      </c>
      <c r="E57" s="9" t="s">
        <v>659</v>
      </c>
      <c r="F57" s="9" t="s">
        <v>660</v>
      </c>
      <c r="G57" s="9" t="s">
        <v>661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35</v>
      </c>
      <c r="B58" s="9" t="s">
        <v>656</v>
      </c>
      <c r="C58" s="9" t="s">
        <v>657</v>
      </c>
      <c r="D58" s="9" t="s">
        <v>658</v>
      </c>
      <c r="E58" s="9" t="s">
        <v>659</v>
      </c>
      <c r="F58" s="9" t="s">
        <v>660</v>
      </c>
      <c r="G58" s="9" t="s">
        <v>662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35</v>
      </c>
      <c r="B59" s="9" t="s">
        <v>656</v>
      </c>
      <c r="C59" s="9" t="s">
        <v>657</v>
      </c>
      <c r="D59" s="9" t="s">
        <v>658</v>
      </c>
      <c r="E59" s="9" t="s">
        <v>659</v>
      </c>
      <c r="F59" s="9" t="s">
        <v>660</v>
      </c>
      <c r="G59" s="9" t="s">
        <v>663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25">
      <c r="A60" s="9" t="s">
        <v>35</v>
      </c>
      <c r="B60" s="9" t="s">
        <v>656</v>
      </c>
      <c r="C60" s="9" t="s">
        <v>657</v>
      </c>
      <c r="D60" s="9" t="s">
        <v>658</v>
      </c>
      <c r="E60" s="9" t="s">
        <v>664</v>
      </c>
      <c r="F60" s="9" t="s">
        <v>665</v>
      </c>
      <c r="G60" s="9" t="s">
        <v>666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35</v>
      </c>
      <c r="B61" s="9" t="s">
        <v>667</v>
      </c>
      <c r="C61" s="9" t="s">
        <v>668</v>
      </c>
      <c r="D61" s="9" t="s">
        <v>669</v>
      </c>
      <c r="E61" s="9" t="s">
        <v>670</v>
      </c>
      <c r="F61" s="9" t="s">
        <v>671</v>
      </c>
      <c r="G61" s="9" t="s">
        <v>672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35</v>
      </c>
      <c r="B62" s="9" t="s">
        <v>673</v>
      </c>
      <c r="C62" s="9" t="s">
        <v>674</v>
      </c>
      <c r="D62" s="9" t="s">
        <v>675</v>
      </c>
      <c r="E62" s="9" t="s">
        <v>676</v>
      </c>
      <c r="F62" s="9" t="s">
        <v>677</v>
      </c>
      <c r="G62" s="9" t="s">
        <v>678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508011.91893890419</v>
      </c>
      <c r="Y62" s="13">
        <f>$I$10*$Y$10</f>
        <v>0</v>
      </c>
      <c r="Z62" s="13">
        <f>$I$10*$Z$10</f>
        <v>0</v>
      </c>
      <c r="AA62" s="13">
        <f>$I$10*$AA$10</f>
        <v>644171.69446939731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442838.25759592024</v>
      </c>
      <c r="AV62" s="13">
        <f>$I$10*$AV$10</f>
        <v>0</v>
      </c>
      <c r="AW62" s="13">
        <f>$I$10*$AW$10</f>
        <v>0</v>
      </c>
      <c r="AX62" s="13">
        <f>$I$10*$AX$10</f>
        <v>636338.33926645597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35</v>
      </c>
      <c r="B63" s="9" t="s">
        <v>673</v>
      </c>
      <c r="C63" s="9" t="s">
        <v>674</v>
      </c>
      <c r="D63" s="9" t="s">
        <v>675</v>
      </c>
      <c r="E63" s="9" t="s">
        <v>676</v>
      </c>
      <c r="F63" s="9" t="s">
        <v>677</v>
      </c>
      <c r="G63" s="9" t="s">
        <v>679</v>
      </c>
      <c r="L63" s="13">
        <f>$I$11*$L$11</f>
        <v>0</v>
      </c>
      <c r="M63" s="13">
        <f>$I$11*$M$11</f>
        <v>196.43317780007277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17943.158870122967</v>
      </c>
      <c r="R63" s="13">
        <f>$I$11*$R$11</f>
        <v>3373.5163660500712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209761.7317637972</v>
      </c>
      <c r="Y63" s="13">
        <f>$I$11*$Y$11</f>
        <v>0</v>
      </c>
      <c r="Z63" s="13">
        <f>$I$11*$Z$11</f>
        <v>0</v>
      </c>
      <c r="AA63" s="13">
        <f>$I$11*$AA$11</f>
        <v>384576.96640548046</v>
      </c>
      <c r="AB63" s="13">
        <f ca="1">$I$11*$AB$11</f>
        <v>0</v>
      </c>
      <c r="AC63" s="13">
        <f ca="1">$I$11*$AC$11</f>
        <v>0</v>
      </c>
      <c r="AD63" s="13">
        <f>$I$11*$AD$11</f>
        <v>1123.6111522206631</v>
      </c>
      <c r="AE63" s="13">
        <f>$I$11*$AE$11</f>
        <v>0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165.12974005944972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11891.72766108189</v>
      </c>
      <c r="AO63" s="13">
        <f>$I$11*$AO$11</f>
        <v>2124.1445828353249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182850.86368329919</v>
      </c>
      <c r="AV63" s="13">
        <f>$I$11*$AV$11</f>
        <v>0</v>
      </c>
      <c r="AW63" s="13">
        <f>$I$11*$AW$11</f>
        <v>0</v>
      </c>
      <c r="AX63" s="13">
        <f>$I$11*$AX$11</f>
        <v>379900.53285857145</v>
      </c>
      <c r="AY63" s="13">
        <f>$I$11*$AY$11</f>
        <v>0</v>
      </c>
      <c r="AZ63" s="13">
        <f>$I$11*$AZ$11</f>
        <v>0</v>
      </c>
      <c r="BA63" s="13">
        <f>$I$11*$BA$11</f>
        <v>1504.44543381071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25">
      <c r="A64" s="9" t="s">
        <v>35</v>
      </c>
      <c r="B64" s="9" t="s">
        <v>673</v>
      </c>
      <c r="C64" s="9" t="s">
        <v>674</v>
      </c>
      <c r="D64" s="9" t="s">
        <v>675</v>
      </c>
      <c r="E64" s="9" t="s">
        <v>676</v>
      </c>
      <c r="F64" s="9" t="s">
        <v>677</v>
      </c>
      <c r="G64" s="9" t="s">
        <v>680</v>
      </c>
      <c r="L64" s="13">
        <f>$I$12*$L$12</f>
        <v>0</v>
      </c>
      <c r="M64" s="13">
        <f>$I$12*$M$12</f>
        <v>6411.8475213418315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585689.24055963638</v>
      </c>
      <c r="R64" s="13">
        <f>$I$12*$R$12</f>
        <v>110116.18705206447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36676.204407030826</v>
      </c>
      <c r="AE64" s="13">
        <f>$I$12*$AE$12</f>
        <v>0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5390.0605099288441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388162.25131675164</v>
      </c>
      <c r="AO64" s="13">
        <f>$I$12*$AO$12</f>
        <v>69334.983687360131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49107.156101659639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25">
      <c r="A65" s="9" t="s">
        <v>35</v>
      </c>
      <c r="B65" s="9" t="s">
        <v>673</v>
      </c>
      <c r="C65" s="9" t="s">
        <v>674</v>
      </c>
      <c r="D65" s="9" t="s">
        <v>675</v>
      </c>
      <c r="E65" s="9" t="s">
        <v>681</v>
      </c>
      <c r="F65" s="9" t="s">
        <v>682</v>
      </c>
      <c r="G65" s="9" t="s">
        <v>683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35</v>
      </c>
      <c r="B66" s="9" t="s">
        <v>673</v>
      </c>
      <c r="C66" s="9" t="s">
        <v>674</v>
      </c>
      <c r="D66" s="9" t="s">
        <v>675</v>
      </c>
      <c r="E66" s="9" t="s">
        <v>681</v>
      </c>
      <c r="F66" s="9" t="s">
        <v>682</v>
      </c>
      <c r="G66" s="9" t="s">
        <v>684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80</v>
      </c>
      <c r="B67" s="9" t="s">
        <v>685</v>
      </c>
      <c r="C67" s="9" t="s">
        <v>686</v>
      </c>
      <c r="D67" s="9" t="s">
        <v>687</v>
      </c>
      <c r="E67" s="9" t="s">
        <v>688</v>
      </c>
      <c r="F67" s="9" t="s">
        <v>689</v>
      </c>
      <c r="G67" s="9" t="s">
        <v>690</v>
      </c>
      <c r="L67" s="13">
        <f>$I$15*$L$15</f>
        <v>0</v>
      </c>
      <c r="M67" s="13">
        <f>$I$15*$M$15</f>
        <v>1.1447925696649606E-10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8.9761327429440689E-8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1.0686185806865E-10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8.8670021506659702E-8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80</v>
      </c>
      <c r="B68" s="9" t="s">
        <v>685</v>
      </c>
      <c r="C68" s="9" t="s">
        <v>686</v>
      </c>
      <c r="D68" s="9" t="s">
        <v>687</v>
      </c>
      <c r="E68" s="9" t="s">
        <v>691</v>
      </c>
      <c r="F68" s="9" t="s">
        <v>692</v>
      </c>
      <c r="G68" s="9" t="s">
        <v>693</v>
      </c>
      <c r="L68" s="13">
        <f>$I$16*$L$16</f>
        <v>0</v>
      </c>
      <c r="M68" s="13">
        <f>$I$16*$M$16</f>
        <v>1.1447925696649606E-10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1.8262286289467107E-7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1.0686185806865E-10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1.8040204824776102E-7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694</v>
      </c>
      <c r="C69" s="9" t="s">
        <v>695</v>
      </c>
      <c r="D69" s="9" t="s">
        <v>696</v>
      </c>
      <c r="E69" s="9" t="s">
        <v>697</v>
      </c>
      <c r="F69" s="9" t="s">
        <v>698</v>
      </c>
      <c r="G69" s="9" t="s">
        <v>699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694</v>
      </c>
      <c r="C70" s="9" t="s">
        <v>695</v>
      </c>
      <c r="D70" s="9" t="s">
        <v>696</v>
      </c>
      <c r="E70" s="9" t="s">
        <v>697</v>
      </c>
      <c r="F70" s="9" t="s">
        <v>698</v>
      </c>
      <c r="G70" s="9" t="s">
        <v>700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694</v>
      </c>
      <c r="C71" s="9" t="s">
        <v>695</v>
      </c>
      <c r="D71" s="9" t="s">
        <v>696</v>
      </c>
      <c r="E71" s="9" t="s">
        <v>697</v>
      </c>
      <c r="F71" s="9" t="s">
        <v>698</v>
      </c>
      <c r="G71" s="9" t="s">
        <v>701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702</v>
      </c>
      <c r="C72" s="9" t="s">
        <v>703</v>
      </c>
      <c r="D72" s="9" t="s">
        <v>704</v>
      </c>
      <c r="E72" s="9" t="s">
        <v>705</v>
      </c>
      <c r="F72" s="9" t="s">
        <v>706</v>
      </c>
      <c r="G72" s="9" t="s">
        <v>707</v>
      </c>
      <c r="L72" s="13">
        <f>$I$20*$L$20</f>
        <v>0</v>
      </c>
      <c r="M72" s="13">
        <f>$I$20*$M$20</f>
        <v>18627.321121105793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930767.53408361715</v>
      </c>
      <c r="R72" s="13">
        <f>$I$20*$R$20</f>
        <v>146995.63253245666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1238776.9723243618</v>
      </c>
      <c r="Y72" s="13">
        <f>$I$20*$Y$20</f>
        <v>0</v>
      </c>
      <c r="Z72" s="13">
        <f>$I$20*$Z$20</f>
        <v>0</v>
      </c>
      <c r="AA72" s="13">
        <f>$I$20*$AA$20</f>
        <v>2899821.0777445082</v>
      </c>
      <c r="AB72" s="13">
        <f ca="1">$I$20*$AB$20</f>
        <v>0</v>
      </c>
      <c r="AC72" s="13">
        <f ca="1">$I$20*$AC$20</f>
        <v>0</v>
      </c>
      <c r="AD72" s="13">
        <f>$I$20*$AD$20</f>
        <v>126805.79408006551</v>
      </c>
      <c r="AE72" s="13">
        <f>$I$20*$AE$20</f>
        <v>0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16371.35007497215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595589.8829993736</v>
      </c>
      <c r="AO72" s="13">
        <f>$I$20*$AO$20</f>
        <v>92556.235886847164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1079850.9986706441</v>
      </c>
      <c r="AV72" s="13">
        <f>$I$20*$AV$20</f>
        <v>0</v>
      </c>
      <c r="AW72" s="13">
        <f>$I$20*$AW$20</f>
        <v>0</v>
      </c>
      <c r="AX72" s="13">
        <f>$I$20*$AX$20</f>
        <v>2864559.5373428902</v>
      </c>
      <c r="AY72" s="13">
        <f>$I$20*$AY$20</f>
        <v>0</v>
      </c>
      <c r="AZ72" s="13">
        <f>$I$20*$AZ$20</f>
        <v>0</v>
      </c>
      <c r="BA72" s="13">
        <f>$I$20*$BA$20</f>
        <v>169785.88618679528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702</v>
      </c>
      <c r="C73" s="9" t="s">
        <v>703</v>
      </c>
      <c r="D73" s="9" t="s">
        <v>708</v>
      </c>
      <c r="E73" s="9" t="s">
        <v>709</v>
      </c>
      <c r="F73" s="9" t="s">
        <v>710</v>
      </c>
      <c r="G73" s="9" t="s">
        <v>711</v>
      </c>
      <c r="L73" s="13">
        <f>$I$21*$L$21</f>
        <v>0</v>
      </c>
      <c r="M73" s="13">
        <f>$I$21*$M$21</f>
        <v>71.573053369944276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4759.8390437994503</v>
      </c>
      <c r="Y73" s="13">
        <f>$I$21*$Y$21</f>
        <v>0</v>
      </c>
      <c r="Z73" s="13">
        <f>$I$21*$Z$21</f>
        <v>0</v>
      </c>
      <c r="AA73" s="13">
        <f>$I$21*$AA$21</f>
        <v>11142.184504755884</v>
      </c>
      <c r="AB73" s="13">
        <f ca="1">$I$21*$AB$21</f>
        <v>0</v>
      </c>
      <c r="AC73" s="13">
        <f ca="1">$I$21*$AC$21</f>
        <v>0</v>
      </c>
      <c r="AD73" s="13">
        <f>$I$21*$AD$21</f>
        <v>487.23473484478745</v>
      </c>
      <c r="AE73" s="13">
        <f>$I$21*$AE$21</f>
        <v>0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62.904778686955922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4149.1867057507015</v>
      </c>
      <c r="AV73" s="13">
        <f>$I$21*$AV$21</f>
        <v>0</v>
      </c>
      <c r="AW73" s="13">
        <f>$I$21*$AW$21</f>
        <v>0</v>
      </c>
      <c r="AX73" s="13">
        <f>$I$21*$AX$21</f>
        <v>11006.696632041219</v>
      </c>
      <c r="AY73" s="13">
        <f>$I$21*$AY$21</f>
        <v>0</v>
      </c>
      <c r="AZ73" s="13">
        <f>$I$21*$AZ$21</f>
        <v>0</v>
      </c>
      <c r="BA73" s="13">
        <f>$I$21*$BA$21</f>
        <v>652.38013638696327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702</v>
      </c>
      <c r="C74" s="9" t="s">
        <v>703</v>
      </c>
      <c r="D74" s="9" t="s">
        <v>712</v>
      </c>
      <c r="E74" s="9" t="s">
        <v>713</v>
      </c>
      <c r="F74" s="9" t="s">
        <v>714</v>
      </c>
      <c r="G74" s="9" t="s">
        <v>715</v>
      </c>
      <c r="L74" s="13">
        <f>$I$22*$L$22</f>
        <v>0</v>
      </c>
      <c r="M74" s="13">
        <f>$I$22*$M$22</f>
        <v>246.95681888974127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16423.425484003707</v>
      </c>
      <c r="Y74" s="13">
        <f>$I$22*$Y$22</f>
        <v>0</v>
      </c>
      <c r="Z74" s="13">
        <f>$I$22*$Z$22</f>
        <v>0</v>
      </c>
      <c r="AA74" s="13">
        <f>$I$22*$AA$22</f>
        <v>38445.173305021774</v>
      </c>
      <c r="AB74" s="13">
        <f ca="1">$I$22*$AB$22</f>
        <v>0</v>
      </c>
      <c r="AC74" s="13">
        <f ca="1">$I$22*$AC$22</f>
        <v>0</v>
      </c>
      <c r="AD74" s="13">
        <f>$I$22*$AD$22</f>
        <v>1681.1625954801568</v>
      </c>
      <c r="AE74" s="13">
        <f>$I$22*$AE$22</f>
        <v>0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217.04766397485238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14316.420797859775</v>
      </c>
      <c r="AV74" s="13">
        <f>$I$22*$AV$22</f>
        <v>0</v>
      </c>
      <c r="AW74" s="13">
        <f>$I$22*$AW$22</f>
        <v>0</v>
      </c>
      <c r="AX74" s="13">
        <f>$I$22*$AX$22</f>
        <v>37977.68376156452</v>
      </c>
      <c r="AY74" s="13">
        <f>$I$22*$AY$22</f>
        <v>0</v>
      </c>
      <c r="AZ74" s="13">
        <f>$I$22*$AZ$22</f>
        <v>0</v>
      </c>
      <c r="BA74" s="13">
        <f>$I$22*$BA$22</f>
        <v>2250.9829552225669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702</v>
      </c>
      <c r="C75" s="9" t="s">
        <v>703</v>
      </c>
      <c r="D75" s="9" t="s">
        <v>716</v>
      </c>
      <c r="E75" s="9" t="s">
        <v>717</v>
      </c>
      <c r="F75" s="9" t="s">
        <v>718</v>
      </c>
      <c r="G75" s="9" t="s">
        <v>719</v>
      </c>
      <c r="L75" s="13">
        <f>$I$23*$L$23</f>
        <v>0</v>
      </c>
      <c r="M75" s="13">
        <f>$I$23*$M$23</f>
        <v>379.85096772959656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25261.31528410644</v>
      </c>
      <c r="Y75" s="13">
        <f>$I$23*$Y$23</f>
        <v>0</v>
      </c>
      <c r="Z75" s="13">
        <f>$I$23*$Z$23</f>
        <v>0</v>
      </c>
      <c r="AA75" s="13">
        <f>$I$23*$AA$23</f>
        <v>59133.561689440801</v>
      </c>
      <c r="AB75" s="13">
        <f ca="1">$I$23*$AB$23</f>
        <v>0</v>
      </c>
      <c r="AC75" s="13">
        <f ca="1">$I$23*$AC$23</f>
        <v>0</v>
      </c>
      <c r="AD75" s="13">
        <f>$I$23*$AD$23</f>
        <v>2585.8416936000845</v>
      </c>
      <c r="AE75" s="13">
        <f>$I$23*$AE$23</f>
        <v>0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333.84688697786225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22020.474344217673</v>
      </c>
      <c r="AV75" s="13">
        <f>$I$23*$AV$23</f>
        <v>0</v>
      </c>
      <c r="AW75" s="13">
        <f>$I$23*$AW$23</f>
        <v>0</v>
      </c>
      <c r="AX75" s="13">
        <f>$I$23*$AX$23</f>
        <v>58414.50336870271</v>
      </c>
      <c r="AY75" s="13">
        <f>$I$23*$AY$23</f>
        <v>0</v>
      </c>
      <c r="AZ75" s="13">
        <f>$I$23*$AZ$23</f>
        <v>0</v>
      </c>
      <c r="BA75" s="13">
        <f>$I$23*$BA$23</f>
        <v>3462.2978127438046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702</v>
      </c>
      <c r="C76" s="9" t="s">
        <v>703</v>
      </c>
      <c r="D76" s="9" t="s">
        <v>720</v>
      </c>
      <c r="E76" s="9" t="s">
        <v>721</v>
      </c>
      <c r="F76" s="9" t="s">
        <v>722</v>
      </c>
      <c r="G76" s="9" t="s">
        <v>723</v>
      </c>
      <c r="L76" s="13">
        <f>$I$24*$L$24</f>
        <v>0</v>
      </c>
      <c r="M76" s="13">
        <f>$I$24*$M$24</f>
        <v>189.90662110142517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12629.403207411271</v>
      </c>
      <c r="Y76" s="13">
        <f>$I$24*$Y$24</f>
        <v>0</v>
      </c>
      <c r="Z76" s="13">
        <f>$I$24*$Z$24</f>
        <v>0</v>
      </c>
      <c r="AA76" s="13">
        <f>$I$24*$AA$24</f>
        <v>29563.844371007501</v>
      </c>
      <c r="AB76" s="13">
        <f ca="1">$I$24*$AB$24</f>
        <v>0</v>
      </c>
      <c r="AC76" s="13">
        <f ca="1">$I$24*$AC$24</f>
        <v>0</v>
      </c>
      <c r="AD76" s="13">
        <f>$I$24*$AD$24</f>
        <v>1292.7924382289696</v>
      </c>
      <c r="AE76" s="13">
        <f>$I$24*$AE$24</f>
        <v>0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166.90686521122043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11009.14367220442</v>
      </c>
      <c r="AV76" s="13">
        <f>$I$24*$AV$24</f>
        <v>0</v>
      </c>
      <c r="AW76" s="13">
        <f>$I$24*$AW$24</f>
        <v>0</v>
      </c>
      <c r="AX76" s="13">
        <f>$I$24*$AX$24</f>
        <v>29204.350917871328</v>
      </c>
      <c r="AY76" s="13">
        <f>$I$24*$AY$24</f>
        <v>0</v>
      </c>
      <c r="AZ76" s="13">
        <f>$I$24*$AZ$24</f>
        <v>0</v>
      </c>
      <c r="BA76" s="13">
        <f>$I$24*$BA$24</f>
        <v>1730.9769744567177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724</v>
      </c>
      <c r="C77" s="9" t="s">
        <v>725</v>
      </c>
      <c r="D77" s="9" t="s">
        <v>726</v>
      </c>
      <c r="E77" s="9" t="s">
        <v>727</v>
      </c>
      <c r="F77" s="9" t="s">
        <v>728</v>
      </c>
      <c r="G77" s="9" t="s">
        <v>729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724</v>
      </c>
      <c r="C78" s="9" t="s">
        <v>725</v>
      </c>
      <c r="D78" s="9" t="s">
        <v>730</v>
      </c>
      <c r="E78" s="9" t="s">
        <v>731</v>
      </c>
      <c r="F78" s="9" t="s">
        <v>732</v>
      </c>
      <c r="G78" s="9" t="s">
        <v>733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724</v>
      </c>
      <c r="C79" s="9" t="s">
        <v>725</v>
      </c>
      <c r="D79" s="9" t="s">
        <v>734</v>
      </c>
      <c r="E79" s="9" t="s">
        <v>735</v>
      </c>
      <c r="F79" s="9" t="s">
        <v>736</v>
      </c>
      <c r="G79" s="9" t="s">
        <v>737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724</v>
      </c>
      <c r="C80" s="9" t="s">
        <v>725</v>
      </c>
      <c r="D80" s="9" t="s">
        <v>738</v>
      </c>
      <c r="E80" s="9" t="s">
        <v>739</v>
      </c>
      <c r="F80" s="9" t="s">
        <v>740</v>
      </c>
      <c r="G80" s="9" t="s">
        <v>741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724</v>
      </c>
      <c r="C81" s="9" t="s">
        <v>725</v>
      </c>
      <c r="D81" s="9" t="s">
        <v>742</v>
      </c>
      <c r="E81" s="9" t="s">
        <v>743</v>
      </c>
      <c r="F81" s="9" t="s">
        <v>744</v>
      </c>
      <c r="G81" s="9" t="s">
        <v>745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40</v>
      </c>
      <c r="B82" s="9" t="s">
        <v>746</v>
      </c>
      <c r="C82" s="9" t="s">
        <v>747</v>
      </c>
      <c r="D82" s="9" t="s">
        <v>748</v>
      </c>
      <c r="E82" s="9" t="s">
        <v>749</v>
      </c>
      <c r="F82" s="9" t="s">
        <v>750</v>
      </c>
      <c r="G82" s="9" t="s">
        <v>751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40</v>
      </c>
      <c r="B83" s="9" t="s">
        <v>746</v>
      </c>
      <c r="C83" s="9" t="s">
        <v>747</v>
      </c>
      <c r="D83" s="9" t="s">
        <v>748</v>
      </c>
      <c r="E83" s="9" t="s">
        <v>749</v>
      </c>
      <c r="F83" s="9" t="s">
        <v>750</v>
      </c>
      <c r="G83" s="9" t="s">
        <v>752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40</v>
      </c>
      <c r="B84" s="9" t="s">
        <v>746</v>
      </c>
      <c r="C84" s="9" t="s">
        <v>747</v>
      </c>
      <c r="D84" s="9" t="s">
        <v>748</v>
      </c>
      <c r="E84" s="9" t="s">
        <v>749</v>
      </c>
      <c r="F84" s="9" t="s">
        <v>750</v>
      </c>
      <c r="G84" s="9" t="s">
        <v>753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40</v>
      </c>
      <c r="B85" s="9" t="s">
        <v>754</v>
      </c>
      <c r="C85" s="9" t="s">
        <v>755</v>
      </c>
      <c r="D85" s="9" t="s">
        <v>756</v>
      </c>
      <c r="E85" s="9" t="s">
        <v>757</v>
      </c>
      <c r="F85" s="9" t="s">
        <v>758</v>
      </c>
      <c r="G85" s="9" t="s">
        <v>759</v>
      </c>
      <c r="L85" s="13">
        <f>$I$33*$L$33</f>
        <v>0</v>
      </c>
      <c r="M85" s="13">
        <f>$I$33*$M$33</f>
        <v>5679.8353213375731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283809.26498617034</v>
      </c>
      <c r="R85" s="13">
        <f>$I$33*$R$33</f>
        <v>44821.849599951602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377727.3799556336</v>
      </c>
      <c r="Y85" s="13">
        <f>$I$33*$Y$33</f>
        <v>0</v>
      </c>
      <c r="Z85" s="13">
        <f>$I$33*$Z$33</f>
        <v>0</v>
      </c>
      <c r="AA85" s="13">
        <f>$I$33*$AA$33</f>
        <v>884212.2855911064</v>
      </c>
      <c r="AB85" s="13">
        <f ca="1">$I$33*$AB$33</f>
        <v>0</v>
      </c>
      <c r="AC85" s="13">
        <f ca="1">$I$33*$AC$33</f>
        <v>0</v>
      </c>
      <c r="AD85" s="13">
        <f>$I$33*$AD$33</f>
        <v>38665.572117621756</v>
      </c>
      <c r="AE85" s="13">
        <f>$I$33*$AE$33</f>
        <v>0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4673.3107093096014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170015.09135355585</v>
      </c>
      <c r="AO85" s="13">
        <f>$I$33*$AO$33</f>
        <v>26420.792811989664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308250.6460026803</v>
      </c>
      <c r="AV85" s="13">
        <f>$I$33*$AV$33</f>
        <v>0</v>
      </c>
      <c r="AW85" s="13">
        <f>$I$33*$AW$33</f>
        <v>0</v>
      </c>
      <c r="AX85" s="13">
        <f>$I$33*$AX$33</f>
        <v>817707.56241936376</v>
      </c>
      <c r="AY85" s="13">
        <f>$I$33*$AY$33</f>
        <v>0</v>
      </c>
      <c r="AZ85" s="13">
        <f>$I$33*$AZ$33</f>
        <v>0</v>
      </c>
      <c r="BA85" s="13">
        <f>$I$33*$BA$33</f>
        <v>48466.509882980616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25">
      <c r="A86" s="9" t="s">
        <v>40</v>
      </c>
      <c r="B86" s="9" t="s">
        <v>746</v>
      </c>
      <c r="C86" s="9" t="s">
        <v>747</v>
      </c>
      <c r="D86" s="9" t="s">
        <v>760</v>
      </c>
      <c r="E86" s="9" t="s">
        <v>761</v>
      </c>
      <c r="F86" s="9" t="s">
        <v>762</v>
      </c>
      <c r="G86" s="9" t="s">
        <v>763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40</v>
      </c>
      <c r="B87" s="9" t="s">
        <v>746</v>
      </c>
      <c r="C87" s="9" t="s">
        <v>747</v>
      </c>
      <c r="D87" s="9" t="s">
        <v>760</v>
      </c>
      <c r="E87" s="9" t="s">
        <v>761</v>
      </c>
      <c r="F87" s="9" t="s">
        <v>762</v>
      </c>
      <c r="G87" s="9" t="s">
        <v>764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40</v>
      </c>
      <c r="B88" s="9" t="s">
        <v>746</v>
      </c>
      <c r="C88" s="9" t="s">
        <v>747</v>
      </c>
      <c r="D88" s="9" t="s">
        <v>760</v>
      </c>
      <c r="E88" s="9" t="s">
        <v>761</v>
      </c>
      <c r="F88" s="9" t="s">
        <v>762</v>
      </c>
      <c r="G88" s="9" t="s">
        <v>765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40</v>
      </c>
      <c r="B89" s="9" t="s">
        <v>754</v>
      </c>
      <c r="C89" s="9" t="s">
        <v>755</v>
      </c>
      <c r="D89" s="9" t="s">
        <v>766</v>
      </c>
      <c r="E89" s="9" t="s">
        <v>767</v>
      </c>
      <c r="F89" s="9" t="s">
        <v>768</v>
      </c>
      <c r="G89" s="9" t="s">
        <v>769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40</v>
      </c>
      <c r="B90" s="9" t="s">
        <v>746</v>
      </c>
      <c r="C90" s="9" t="s">
        <v>747</v>
      </c>
      <c r="D90" s="9" t="s">
        <v>770</v>
      </c>
      <c r="E90" s="9" t="s">
        <v>771</v>
      </c>
      <c r="F90" s="9" t="s">
        <v>772</v>
      </c>
      <c r="G90" s="9" t="s">
        <v>773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40</v>
      </c>
      <c r="B91" s="9" t="s">
        <v>746</v>
      </c>
      <c r="C91" s="9" t="s">
        <v>747</v>
      </c>
      <c r="D91" s="9" t="s">
        <v>770</v>
      </c>
      <c r="E91" s="9" t="s">
        <v>771</v>
      </c>
      <c r="F91" s="9" t="s">
        <v>772</v>
      </c>
      <c r="G91" s="9" t="s">
        <v>774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40</v>
      </c>
      <c r="B92" s="9" t="s">
        <v>746</v>
      </c>
      <c r="C92" s="9" t="s">
        <v>747</v>
      </c>
      <c r="D92" s="9" t="s">
        <v>770</v>
      </c>
      <c r="E92" s="9" t="s">
        <v>771</v>
      </c>
      <c r="F92" s="9" t="s">
        <v>772</v>
      </c>
      <c r="G92" s="9" t="s">
        <v>775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40</v>
      </c>
      <c r="B93" s="9" t="s">
        <v>754</v>
      </c>
      <c r="C93" s="9" t="s">
        <v>755</v>
      </c>
      <c r="D93" s="9" t="s">
        <v>776</v>
      </c>
      <c r="E93" s="9" t="s">
        <v>777</v>
      </c>
      <c r="F93" s="9" t="s">
        <v>778</v>
      </c>
      <c r="G93" s="9" t="s">
        <v>779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40</v>
      </c>
      <c r="B94" s="9" t="s">
        <v>780</v>
      </c>
      <c r="C94" s="9" t="s">
        <v>781</v>
      </c>
      <c r="D94" s="9" t="s">
        <v>782</v>
      </c>
      <c r="E94" s="9" t="s">
        <v>783</v>
      </c>
      <c r="F94" s="9" t="s">
        <v>784</v>
      </c>
      <c r="G94" s="9" t="s">
        <v>785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40</v>
      </c>
      <c r="B95" s="9" t="s">
        <v>780</v>
      </c>
      <c r="C95" s="9" t="s">
        <v>781</v>
      </c>
      <c r="D95" s="9" t="s">
        <v>786</v>
      </c>
      <c r="E95" s="9" t="s">
        <v>787</v>
      </c>
      <c r="F95" s="9" t="s">
        <v>788</v>
      </c>
      <c r="G95" s="9" t="s">
        <v>789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40</v>
      </c>
      <c r="B96" s="9" t="s">
        <v>780</v>
      </c>
      <c r="C96" s="9" t="s">
        <v>781</v>
      </c>
      <c r="D96" s="9" t="s">
        <v>790</v>
      </c>
      <c r="E96" s="9" t="s">
        <v>791</v>
      </c>
      <c r="F96" s="9" t="s">
        <v>792</v>
      </c>
      <c r="G96" s="9" t="s">
        <v>793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33</v>
      </c>
      <c r="B97" s="9" t="s">
        <v>794</v>
      </c>
      <c r="C97" s="9" t="s">
        <v>795</v>
      </c>
      <c r="D97" s="9" t="s">
        <v>796</v>
      </c>
      <c r="E97" s="9" t="s">
        <v>797</v>
      </c>
      <c r="F97" s="9" t="s">
        <v>798</v>
      </c>
      <c r="G97" s="9" t="s">
        <v>799</v>
      </c>
      <c r="L97" s="13">
        <f>$I$45*$L$45</f>
        <v>0</v>
      </c>
      <c r="M97" s="13">
        <f>$I$45*$M$45</f>
        <v>0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0</v>
      </c>
      <c r="R97" s="13">
        <f>$I$45*$R$45</f>
        <v>0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0</v>
      </c>
      <c r="Y97" s="13">
        <f>$I$45*$Y$45</f>
        <v>0</v>
      </c>
      <c r="Z97" s="13">
        <f>$I$45*$Z$45</f>
        <v>0</v>
      </c>
      <c r="AA97" s="13">
        <f>$I$45*$AA$45</f>
        <v>0</v>
      </c>
      <c r="AB97" s="13">
        <f ca="1">$I$45*$AB$45</f>
        <v>0</v>
      </c>
      <c r="AC97" s="13">
        <f ca="1">$I$45*$AC$45</f>
        <v>0</v>
      </c>
      <c r="AD97" s="13">
        <f>$I$45*$AD$45</f>
        <v>0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0</v>
      </c>
      <c r="AO97" s="13">
        <f>$I$45*$AO$45</f>
        <v>0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0</v>
      </c>
      <c r="AV97" s="13">
        <f>$I$45*$AV$45</f>
        <v>0</v>
      </c>
      <c r="AW97" s="13">
        <f>$I$45*$AW$45</f>
        <v>0</v>
      </c>
      <c r="AX97" s="13">
        <f>$I$45*$AX$45</f>
        <v>0</v>
      </c>
      <c r="AY97" s="13">
        <f>$I$45*$AY$45</f>
        <v>0</v>
      </c>
      <c r="AZ97" s="13">
        <f>$I$45*$AZ$45</f>
        <v>0</v>
      </c>
      <c r="BA97" s="13">
        <f>$I$45*$BA$45</f>
        <v>0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33</v>
      </c>
      <c r="B98" s="9" t="s">
        <v>794</v>
      </c>
      <c r="C98" s="9" t="s">
        <v>795</v>
      </c>
      <c r="D98" s="9" t="s">
        <v>796</v>
      </c>
      <c r="E98" s="9" t="s">
        <v>797</v>
      </c>
      <c r="F98" s="9" t="s">
        <v>798</v>
      </c>
      <c r="G98" s="9" t="s">
        <v>800</v>
      </c>
      <c r="L98" s="13">
        <f>$I$46*$L$46</f>
        <v>0</v>
      </c>
      <c r="M98" s="13">
        <f>$I$46*$M$46</f>
        <v>0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0</v>
      </c>
      <c r="R98" s="13">
        <f>$I$46*$R$46</f>
        <v>0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0</v>
      </c>
      <c r="Y98" s="13">
        <f>$I$46*$Y$46</f>
        <v>0</v>
      </c>
      <c r="Z98" s="13">
        <f>$I$46*$Z$46</f>
        <v>0</v>
      </c>
      <c r="AA98" s="13">
        <f>$I$46*$AA$46</f>
        <v>0</v>
      </c>
      <c r="AB98" s="13">
        <f ca="1">$I$46*$AB$46</f>
        <v>0</v>
      </c>
      <c r="AC98" s="13">
        <f ca="1">$I$46*$AC$46</f>
        <v>0</v>
      </c>
      <c r="AD98" s="13">
        <f>$I$46*$AD$46</f>
        <v>0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0</v>
      </c>
      <c r="AO98" s="13">
        <f>$I$46*$AO$46</f>
        <v>0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0</v>
      </c>
      <c r="AV98" s="13">
        <f>$I$46*$AV$46</f>
        <v>0</v>
      </c>
      <c r="AW98" s="13">
        <f>$I$46*$AW$46</f>
        <v>0</v>
      </c>
      <c r="AX98" s="13">
        <f>$I$46*$AX$46</f>
        <v>0</v>
      </c>
      <c r="AY98" s="13">
        <f>$I$46*$AY$46</f>
        <v>0</v>
      </c>
      <c r="AZ98" s="13">
        <f>$I$46*$AZ$46</f>
        <v>0</v>
      </c>
      <c r="BA98" s="13">
        <f>$I$46*$BA$46</f>
        <v>0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33</v>
      </c>
      <c r="B99" s="9" t="s">
        <v>794</v>
      </c>
      <c r="C99" s="9" t="s">
        <v>795</v>
      </c>
      <c r="D99" s="9" t="s">
        <v>796</v>
      </c>
      <c r="E99" s="9" t="s">
        <v>797</v>
      </c>
      <c r="F99" s="9" t="s">
        <v>798</v>
      </c>
      <c r="G99" s="9" t="s">
        <v>801</v>
      </c>
      <c r="L99" s="13">
        <f>$I$47*$L$47</f>
        <v>0</v>
      </c>
      <c r="M99" s="13">
        <f>$I$47*$M$47</f>
        <v>0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0</v>
      </c>
      <c r="R99" s="13">
        <f>$I$47*$R$47</f>
        <v>0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0</v>
      </c>
      <c r="Y99" s="13">
        <f>$I$47*$Y$47</f>
        <v>0</v>
      </c>
      <c r="Z99" s="13">
        <f>$I$47*$Z$47</f>
        <v>0</v>
      </c>
      <c r="AA99" s="13">
        <f>$I$47*$AA$47</f>
        <v>0</v>
      </c>
      <c r="AB99" s="13">
        <f ca="1">$I$47*$AB$47</f>
        <v>0</v>
      </c>
      <c r="AC99" s="13">
        <f ca="1">$I$47*$AC$47</f>
        <v>0</v>
      </c>
      <c r="AD99" s="13">
        <f>$I$47*$AD$47</f>
        <v>0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0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0</v>
      </c>
      <c r="AO99" s="13">
        <f>$I$47*$AO$47</f>
        <v>0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0</v>
      </c>
      <c r="AV99" s="13">
        <f>$I$47*$AV$47</f>
        <v>0</v>
      </c>
      <c r="AW99" s="13">
        <f>$I$47*$AW$47</f>
        <v>0</v>
      </c>
      <c r="AX99" s="13">
        <f>$I$47*$AX$47</f>
        <v>0</v>
      </c>
      <c r="AY99" s="13">
        <f>$I$47*$AY$47</f>
        <v>0</v>
      </c>
      <c r="AZ99" s="13">
        <f>$I$47*$AZ$47</f>
        <v>0</v>
      </c>
      <c r="BA99" s="13">
        <f>$I$47*$BA$47</f>
        <v>0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33</v>
      </c>
      <c r="B100" s="9" t="s">
        <v>802</v>
      </c>
      <c r="C100" s="9" t="s">
        <v>803</v>
      </c>
      <c r="D100" s="9" t="s">
        <v>804</v>
      </c>
      <c r="E100" s="9" t="s">
        <v>805</v>
      </c>
      <c r="F100" s="9" t="s">
        <v>806</v>
      </c>
      <c r="G100" s="9" t="s">
        <v>807</v>
      </c>
      <c r="L100" s="13">
        <f>$I$48*$L$48</f>
        <v>0</v>
      </c>
      <c r="M100" s="13">
        <f>$I$48*$M$48</f>
        <v>8669.6812183204256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433205.49189029686</v>
      </c>
      <c r="R100" s="13">
        <f>$I$48*$R$48</f>
        <v>68415.918008617897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576561.78152636054</v>
      </c>
      <c r="Y100" s="13">
        <f>$I$48*$Y$48</f>
        <v>0</v>
      </c>
      <c r="Z100" s="13">
        <f>$I$48*$Z$48</f>
        <v>0</v>
      </c>
      <c r="AA100" s="13">
        <f>$I$48*$AA$48</f>
        <v>1349658.6101007105</v>
      </c>
      <c r="AB100" s="13">
        <f ca="1">$I$48*$AB$48</f>
        <v>0</v>
      </c>
      <c r="AC100" s="13">
        <f ca="1">$I$48*$AC$48</f>
        <v>0</v>
      </c>
      <c r="AD100" s="13">
        <f>$I$48*$AD$48</f>
        <v>59018.997104447211</v>
      </c>
      <c r="AE100" s="13">
        <f>$I$48*$AE$48</f>
        <v>0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7619.6885929407827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277204.34886424494</v>
      </c>
      <c r="AO100" s="13">
        <f>$I$48*$AO$48</f>
        <v>43078.285636973982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502593.14588998043</v>
      </c>
      <c r="AV100" s="13">
        <f>$I$48*$AV$48</f>
        <v>0</v>
      </c>
      <c r="AW100" s="13">
        <f>$I$48*$AW$48</f>
        <v>0</v>
      </c>
      <c r="AX100" s="13">
        <f>$I$48*$AX$48</f>
        <v>1333246.89353871</v>
      </c>
      <c r="AY100" s="13">
        <f>$I$48*$AY$48</f>
        <v>0</v>
      </c>
      <c r="AZ100" s="13">
        <f>$I$48*$AZ$48</f>
        <v>0</v>
      </c>
      <c r="BA100" s="13">
        <f>$I$48*$BA$48</f>
        <v>79023.145574148177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25">
      <c r="A101" s="9" t="s">
        <v>33</v>
      </c>
      <c r="B101" s="9" t="s">
        <v>808</v>
      </c>
      <c r="C101" s="9" t="s">
        <v>809</v>
      </c>
      <c r="D101" s="9" t="s">
        <v>810</v>
      </c>
      <c r="E101" s="9" t="s">
        <v>811</v>
      </c>
      <c r="F101" s="9" t="s">
        <v>812</v>
      </c>
      <c r="G101" s="9" t="s">
        <v>813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43</v>
      </c>
      <c r="B102" s="9" t="s">
        <v>814</v>
      </c>
      <c r="C102" s="9" t="s">
        <v>815</v>
      </c>
      <c r="D102" s="9" t="s">
        <v>816</v>
      </c>
      <c r="E102" s="9" t="s">
        <v>817</v>
      </c>
      <c r="F102" s="9" t="s">
        <v>818</v>
      </c>
      <c r="G102" s="9" t="s">
        <v>819</v>
      </c>
      <c r="L102" s="13">
        <f>$I$50*$L$50</f>
        <v>0</v>
      </c>
      <c r="M102" s="13">
        <f>$I$50*$M$50</f>
        <v>1978.5373334422231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98863.293490646116</v>
      </c>
      <c r="R102" s="13">
        <f>$I$50*$R$50</f>
        <v>15613.428518655099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131579.1182004798</v>
      </c>
      <c r="Y102" s="13">
        <f>$I$50*$Y$50</f>
        <v>0</v>
      </c>
      <c r="Z102" s="13">
        <f>$I$50*$Z$50</f>
        <v>0</v>
      </c>
      <c r="AA102" s="13">
        <f>$I$50*$AA$50</f>
        <v>308010.16556907765</v>
      </c>
      <c r="AB102" s="13">
        <f ca="1">$I$50*$AB$50</f>
        <v>0</v>
      </c>
      <c r="AC102" s="13">
        <f ca="1">$I$50*$AC$50</f>
        <v>0</v>
      </c>
      <c r="AD102" s="13">
        <f>$I$50*$AD$50</f>
        <v>13468.925351800804</v>
      </c>
      <c r="AE102" s="13">
        <f>$I$50*$AE$50</f>
        <v>0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1738.9149578509846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63261.743933729405</v>
      </c>
      <c r="AO102" s="13">
        <f>$I$50*$AO$50</f>
        <v>9831.0415627891871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114698.48517315394</v>
      </c>
      <c r="AV102" s="13">
        <f>$I$50*$AV$50</f>
        <v>0</v>
      </c>
      <c r="AW102" s="13">
        <f>$I$50*$AW$50</f>
        <v>0</v>
      </c>
      <c r="AX102" s="13">
        <f>$I$50*$AX$50</f>
        <v>304264.79211115011</v>
      </c>
      <c r="AY102" s="13">
        <f>$I$50*$AY$50</f>
        <v>0</v>
      </c>
      <c r="AZ102" s="13">
        <f>$I$50*$AZ$50</f>
        <v>0</v>
      </c>
      <c r="BA102" s="13">
        <f>$I$50*$BA$50</f>
        <v>18034.139870575433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25">
      <c r="A103" s="9" t="s">
        <v>43</v>
      </c>
      <c r="B103" s="9" t="s">
        <v>814</v>
      </c>
      <c r="C103" s="9" t="s">
        <v>815</v>
      </c>
      <c r="D103" s="9" t="s">
        <v>820</v>
      </c>
      <c r="E103" s="9" t="s">
        <v>821</v>
      </c>
      <c r="F103" s="9" t="s">
        <v>822</v>
      </c>
      <c r="G103" s="9" t="s">
        <v>823</v>
      </c>
      <c r="L103" s="13">
        <f>$I$51*$L$51</f>
        <v>0</v>
      </c>
      <c r="M103" s="13">
        <f>$I$51*$M$51</f>
        <v>1.6043470349941609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80.165801827720415</v>
      </c>
      <c r="R103" s="13">
        <f>$I$51*$R$51</f>
        <v>12.660543385561075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106.69425569282566</v>
      </c>
      <c r="Y103" s="13">
        <f>$I$51*$Y$51</f>
        <v>0</v>
      </c>
      <c r="Z103" s="13">
        <f>$I$51*$Z$51</f>
        <v>0</v>
      </c>
      <c r="AA103" s="13">
        <f>$I$51*$AA$51</f>
        <v>249.75783247874739</v>
      </c>
      <c r="AB103" s="13">
        <f ca="1">$I$51*$AB$51</f>
        <v>0</v>
      </c>
      <c r="AC103" s="13">
        <f ca="1">$I$51*$AC$51</f>
        <v>0</v>
      </c>
      <c r="AD103" s="13">
        <f>$I$51*$AD$51</f>
        <v>10.921618757187998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1.4100431715794532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51.297384988971501</v>
      </c>
      <c r="AO103" s="13">
        <f>$I$51*$AO$51</f>
        <v>7.971748683015587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93.006167483189898</v>
      </c>
      <c r="AV103" s="13">
        <f>$I$51*$AV$51</f>
        <v>0</v>
      </c>
      <c r="AW103" s="13">
        <f>$I$51*$AW$51</f>
        <v>0</v>
      </c>
      <c r="AX103" s="13">
        <f>$I$51*$AX$51</f>
        <v>246.72080168806784</v>
      </c>
      <c r="AY103" s="13">
        <f>$I$51*$AY$51</f>
        <v>0</v>
      </c>
      <c r="AZ103" s="13">
        <f>$I$51*$AZ$51</f>
        <v>0</v>
      </c>
      <c r="BA103" s="13">
        <f>$I$51*$BA$51</f>
        <v>14.623438406234417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1:A4"/>
    <mergeCell ref="B1:B4"/>
    <mergeCell ref="C1:C4"/>
    <mergeCell ref="D1:D4"/>
    <mergeCell ref="E1:E4"/>
    <mergeCell ref="J1:J4"/>
    <mergeCell ref="L1:AG1"/>
    <mergeCell ref="L2:AG2"/>
    <mergeCell ref="L3:S3"/>
    <mergeCell ref="T3:Z3"/>
    <mergeCell ref="F5:F7"/>
    <mergeCell ref="B10:B14"/>
    <mergeCell ref="G1:G4"/>
    <mergeCell ref="H1:H4"/>
    <mergeCell ref="I1:I4"/>
    <mergeCell ref="F1:F4"/>
    <mergeCell ref="F10:F12"/>
    <mergeCell ref="F13:F14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AI1:BD1"/>
    <mergeCell ref="AI2:BD2"/>
    <mergeCell ref="AI3:AP3"/>
    <mergeCell ref="AQ3:AW3"/>
    <mergeCell ref="AY3:AZ3"/>
    <mergeCell ref="E45:E47"/>
    <mergeCell ref="F45:F47"/>
    <mergeCell ref="A50:A51"/>
    <mergeCell ref="B50:B51"/>
    <mergeCell ref="C50:C51"/>
    <mergeCell ref="D45:D47"/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8936-8174-42ED-96D3-5AF188DEDDE3}">
  <dimension ref="A1:AH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98" t="s">
        <v>60</v>
      </c>
      <c r="B1" s="98" t="s">
        <v>61</v>
      </c>
      <c r="C1" s="98" t="s">
        <v>62</v>
      </c>
      <c r="D1" s="98" t="s">
        <v>63</v>
      </c>
      <c r="E1" s="98" t="s">
        <v>64</v>
      </c>
      <c r="F1" s="98" t="s">
        <v>15</v>
      </c>
      <c r="G1" s="98" t="s">
        <v>66</v>
      </c>
      <c r="H1" s="98" t="s">
        <v>67</v>
      </c>
      <c r="I1" s="98" t="s">
        <v>452</v>
      </c>
      <c r="J1" s="82"/>
      <c r="L1" s="99" t="s">
        <v>824</v>
      </c>
      <c r="M1" s="99"/>
      <c r="N1" s="99"/>
      <c r="O1" s="99"/>
      <c r="P1" s="99"/>
      <c r="Q1" s="99"/>
      <c r="R1" s="99"/>
      <c r="S1" s="99"/>
      <c r="T1" s="99"/>
      <c r="U1" s="99"/>
      <c r="V1" s="99"/>
      <c r="X1" s="99" t="s">
        <v>825</v>
      </c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4" ht="11.25" customHeight="1" x14ac:dyDescent="0.25">
      <c r="A2" s="98"/>
      <c r="B2" s="98"/>
      <c r="C2" s="98"/>
      <c r="D2" s="98"/>
      <c r="E2" s="98"/>
      <c r="F2" s="98"/>
      <c r="G2" s="98"/>
      <c r="H2" s="98"/>
      <c r="I2" s="98"/>
      <c r="J2" s="82"/>
      <c r="L2" s="99" t="s">
        <v>379</v>
      </c>
      <c r="M2" s="99"/>
      <c r="N2" s="99"/>
      <c r="O2" s="99"/>
      <c r="P2" s="99"/>
      <c r="Q2" s="99"/>
      <c r="R2" s="99"/>
      <c r="S2" s="99"/>
      <c r="T2" s="99"/>
      <c r="U2" s="99"/>
      <c r="V2" s="99"/>
      <c r="X2" s="99" t="s">
        <v>379</v>
      </c>
      <c r="Y2" s="99"/>
      <c r="Z2" s="99"/>
      <c r="AA2" s="99"/>
      <c r="AB2" s="99"/>
      <c r="AC2" s="99"/>
      <c r="AD2" s="99"/>
      <c r="AE2" s="99"/>
      <c r="AF2" s="99"/>
      <c r="AG2" s="99"/>
      <c r="AH2" s="99"/>
    </row>
    <row r="3" spans="1:34" ht="11.25" customHeight="1" x14ac:dyDescent="0.25">
      <c r="A3" s="98"/>
      <c r="B3" s="98"/>
      <c r="C3" s="98"/>
      <c r="D3" s="98"/>
      <c r="E3" s="98"/>
      <c r="F3" s="98"/>
      <c r="G3" s="98"/>
      <c r="H3" s="98"/>
      <c r="I3" s="98"/>
      <c r="J3" s="82"/>
      <c r="L3" s="99" t="s">
        <v>352</v>
      </c>
      <c r="M3" s="99"/>
      <c r="N3" s="99"/>
      <c r="O3" s="99"/>
      <c r="P3" s="99"/>
      <c r="Q3" s="24" t="s">
        <v>383</v>
      </c>
      <c r="R3" s="99" t="s">
        <v>361</v>
      </c>
      <c r="S3" s="99"/>
      <c r="T3" s="99"/>
      <c r="U3" s="24" t="s">
        <v>371</v>
      </c>
      <c r="V3" s="24" t="s">
        <v>374</v>
      </c>
      <c r="X3" s="99" t="s">
        <v>352</v>
      </c>
      <c r="Y3" s="99"/>
      <c r="Z3" s="99"/>
      <c r="AA3" s="99"/>
      <c r="AB3" s="99"/>
      <c r="AC3" s="24" t="s">
        <v>383</v>
      </c>
      <c r="AD3" s="99" t="s">
        <v>361</v>
      </c>
      <c r="AE3" s="99"/>
      <c r="AF3" s="99"/>
      <c r="AG3" s="24" t="s">
        <v>371</v>
      </c>
      <c r="AH3" s="24" t="s">
        <v>374</v>
      </c>
    </row>
    <row r="4" spans="1:34" ht="11.25" customHeight="1" x14ac:dyDescent="0.25">
      <c r="A4" s="98"/>
      <c r="B4" s="98"/>
      <c r="C4" s="98"/>
      <c r="D4" s="98"/>
      <c r="E4" s="98"/>
      <c r="F4" s="98"/>
      <c r="G4" s="98"/>
      <c r="H4" s="98"/>
      <c r="I4" s="98"/>
      <c r="J4" s="82"/>
      <c r="L4" s="24" t="s">
        <v>354</v>
      </c>
      <c r="M4" s="24" t="s">
        <v>380</v>
      </c>
      <c r="N4" s="24" t="s">
        <v>381</v>
      </c>
      <c r="O4" s="24" t="s">
        <v>440</v>
      </c>
      <c r="P4" s="24" t="s">
        <v>382</v>
      </c>
      <c r="Q4" s="24" t="s">
        <v>384</v>
      </c>
      <c r="R4" s="24" t="s">
        <v>385</v>
      </c>
      <c r="S4" s="24" t="s">
        <v>386</v>
      </c>
      <c r="T4" s="24" t="s">
        <v>387</v>
      </c>
      <c r="U4" s="24" t="s">
        <v>372</v>
      </c>
      <c r="V4" s="24" t="s">
        <v>388</v>
      </c>
      <c r="X4" s="24" t="s">
        <v>354</v>
      </c>
      <c r="Y4" s="24" t="s">
        <v>380</v>
      </c>
      <c r="Z4" s="24" t="s">
        <v>381</v>
      </c>
      <c r="AA4" s="24" t="s">
        <v>440</v>
      </c>
      <c r="AB4" s="24" t="s">
        <v>382</v>
      </c>
      <c r="AC4" s="24" t="s">
        <v>384</v>
      </c>
      <c r="AD4" s="24" t="s">
        <v>385</v>
      </c>
      <c r="AE4" s="24" t="s">
        <v>386</v>
      </c>
      <c r="AF4" s="24" t="s">
        <v>387</v>
      </c>
      <c r="AG4" s="24" t="s">
        <v>372</v>
      </c>
      <c r="AH4" s="24" t="s">
        <v>388</v>
      </c>
    </row>
    <row r="5" spans="1:34" ht="11.25" customHeight="1" x14ac:dyDescent="0.25">
      <c r="A5" s="97" t="s">
        <v>35</v>
      </c>
      <c r="B5" s="97" t="s">
        <v>69</v>
      </c>
      <c r="C5" s="97" t="s">
        <v>25</v>
      </c>
      <c r="D5" s="97" t="s">
        <v>25</v>
      </c>
      <c r="E5" s="97" t="s">
        <v>25</v>
      </c>
      <c r="F5" s="97" t="s">
        <v>25</v>
      </c>
      <c r="G5" s="23" t="s">
        <v>71</v>
      </c>
      <c r="H5" s="23" t="s">
        <v>70</v>
      </c>
      <c r="I5" s="23">
        <f>'MERCADO TE'!$U$2</f>
        <v>232.29900000000001</v>
      </c>
      <c r="J5" s="15"/>
      <c r="L5" s="20">
        <f>('TE BE'!$L$5+'TE BF'!$L$5+'TE CVA'!$L$5)*1</f>
        <v>0</v>
      </c>
      <c r="M5" s="20">
        <f>('TE BE'!$M$5+'TE BF'!$M$5+'TE CVA'!$M$5)*1</f>
        <v>0</v>
      </c>
      <c r="N5" s="20">
        <f>('TE BE'!$N$5+'TE BF'!$N$5+'TE CVA'!$N$5)*1</f>
        <v>0</v>
      </c>
      <c r="O5" s="20">
        <f>('TE BE'!$O$5+'TE BF'!$O$5+'TE CVA'!$O$5)*1</f>
        <v>0</v>
      </c>
      <c r="P5" s="20">
        <f>('TE BE'!$P$5+'TE BF'!$P$5+'TE CVA'!$P$5)*1</f>
        <v>0</v>
      </c>
      <c r="Q5" s="20">
        <f>('TE BE'!$R$5+'TE BF'!$R$5+'TE CVA'!$R$5)*1</f>
        <v>153.95741395122897</v>
      </c>
      <c r="R5" s="20">
        <f>('TE BE'!$T$5+'TE BF'!$T$5+'TE CVA'!$T$5)*1</f>
        <v>0</v>
      </c>
      <c r="S5" s="20">
        <f>('TE BE'!$U$5+'TE BF'!$U$5+'TE CVA'!$U$5)*1</f>
        <v>0</v>
      </c>
      <c r="T5" s="20">
        <f>('TE BE'!$V$5+'TE BF'!$V$5+'TE CVA'!$V$5)*1</f>
        <v>0</v>
      </c>
      <c r="U5" s="20">
        <f>('TE BE'!$X$5+'TE BF'!$X$5+'TE CVA'!$X$5)*1</f>
        <v>0</v>
      </c>
      <c r="V5" s="20">
        <f>('TE BE'!$Z$5+'TE BF'!$Z$5+'TE CVA'!$Z$5)*1</f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165.20608136713301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</row>
    <row r="6" spans="1:34" ht="11.25" customHeight="1" x14ac:dyDescent="0.25">
      <c r="A6" s="97"/>
      <c r="B6" s="97"/>
      <c r="C6" s="97"/>
      <c r="D6" s="97"/>
      <c r="E6" s="97"/>
      <c r="F6" s="97"/>
      <c r="G6" s="23" t="s">
        <v>72</v>
      </c>
      <c r="H6" s="23" t="s">
        <v>70</v>
      </c>
      <c r="I6" s="23">
        <f>'MERCADO TE'!$U$3</f>
        <v>7582.5569999999989</v>
      </c>
      <c r="J6" s="15"/>
      <c r="L6" s="20">
        <f>('TE BE'!$L$6+'TE BF'!$L$6+'TE CVA'!$L$6)*1</f>
        <v>0</v>
      </c>
      <c r="M6" s="20">
        <f>('TE BE'!$M$6+'TE BF'!$M$6+'TE CVA'!$M$6)*1</f>
        <v>0</v>
      </c>
      <c r="N6" s="20">
        <f>('TE BE'!$N$6+'TE BF'!$N$6+'TE CVA'!$N$6)*1</f>
        <v>0</v>
      </c>
      <c r="O6" s="20">
        <f>('TE BE'!$O$6+'TE BF'!$O$6+'TE CVA'!$O$6)*1</f>
        <v>0</v>
      </c>
      <c r="P6" s="20">
        <f>('TE BE'!$P$6+'TE BF'!$P$6+'TE CVA'!$P$6)*1</f>
        <v>0</v>
      </c>
      <c r="Q6" s="20">
        <f>('TE BE'!$R$6+'TE BF'!$R$6+'TE CVA'!$R$6)*1</f>
        <v>153.95741395122897</v>
      </c>
      <c r="R6" s="20">
        <f>('TE BE'!$T$6+'TE BF'!$T$6+'TE CVA'!$T$6)*1</f>
        <v>0</v>
      </c>
      <c r="S6" s="20">
        <f>('TE BE'!$U$6+'TE BF'!$U$6+'TE CVA'!$U$6)*1</f>
        <v>0</v>
      </c>
      <c r="T6" s="20">
        <f>('TE BE'!$V$6+'TE BF'!$V$6+'TE CVA'!$V$6)*1</f>
        <v>0</v>
      </c>
      <c r="U6" s="20">
        <f>('TE BE'!$X$6+'TE BF'!$X$6+'TE CVA'!$X$6)*1</f>
        <v>0</v>
      </c>
      <c r="V6" s="20">
        <f>('TE BE'!$Z$6+'TE BF'!$Z$6+'TE CVA'!$Z$6)*1</f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165.20608136713301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</row>
    <row r="7" spans="1:34" ht="11.25" customHeight="1" x14ac:dyDescent="0.25">
      <c r="A7" s="97" t="s">
        <v>22</v>
      </c>
      <c r="B7" s="97" t="s">
        <v>69</v>
      </c>
      <c r="C7" s="97" t="s">
        <v>24</v>
      </c>
      <c r="D7" s="97" t="s">
        <v>24</v>
      </c>
      <c r="E7" s="97" t="s">
        <v>25</v>
      </c>
      <c r="F7" s="97" t="s">
        <v>25</v>
      </c>
      <c r="G7" s="23" t="s">
        <v>71</v>
      </c>
      <c r="H7" s="23" t="s">
        <v>70</v>
      </c>
      <c r="I7" s="23">
        <f>'MERCADO TE'!$U$4</f>
        <v>0</v>
      </c>
      <c r="J7" s="15"/>
      <c r="L7" s="20">
        <f>('TE BE'!$L$7+'TE BF'!$L$7+'TE CVA'!$L$7)*1</f>
        <v>0</v>
      </c>
      <c r="M7" s="20">
        <f>('TE BE'!$M$7+'TE BF'!$M$7+'TE CVA'!$M$7)*1</f>
        <v>0</v>
      </c>
      <c r="N7" s="20">
        <f>('TE BE'!$N$7+'TE BF'!$N$7+'TE CVA'!$N$7)*1</f>
        <v>0</v>
      </c>
      <c r="O7" s="20">
        <f>('TE BE'!$O$7+'TE BF'!$O$7+'TE CVA'!$O$7)*1</f>
        <v>0</v>
      </c>
      <c r="P7" s="20">
        <f>('TE BE'!$P$7+'TE BF'!$P$7+'TE CVA'!$P$7)*1</f>
        <v>0</v>
      </c>
      <c r="Q7" s="20">
        <f>('TE BE'!$R$7+'TE BF'!$R$7+'TE CVA'!$R$7)*1</f>
        <v>153.95741395122897</v>
      </c>
      <c r="R7" s="20">
        <f>('TE BE'!$T$7+'TE BF'!$T$7+'TE CVA'!$T$7)*1</f>
        <v>0</v>
      </c>
      <c r="S7" s="20">
        <f>('TE BE'!$U$7+'TE BF'!$U$7+'TE CVA'!$U$7)*1</f>
        <v>0</v>
      </c>
      <c r="T7" s="20">
        <f>('TE BE'!$V$7+'TE BF'!$V$7+'TE CVA'!$V$7)*1</f>
        <v>0</v>
      </c>
      <c r="U7" s="20">
        <f>('TE BE'!$X$7+'TE BF'!$X$7+'TE CVA'!$X$7)*1</f>
        <v>0</v>
      </c>
      <c r="V7" s="20">
        <f>('TE BE'!$Z$7+'TE BF'!$Z$7+'TE CVA'!$Z$7)*1</f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165.20608136713301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</row>
    <row r="8" spans="1:34" ht="11.25" customHeight="1" x14ac:dyDescent="0.25">
      <c r="A8" s="97"/>
      <c r="B8" s="97"/>
      <c r="C8" s="97"/>
      <c r="D8" s="97"/>
      <c r="E8" s="97"/>
      <c r="F8" s="97"/>
      <c r="G8" s="23" t="s">
        <v>83</v>
      </c>
      <c r="H8" s="23" t="s">
        <v>70</v>
      </c>
      <c r="I8" s="23">
        <f>'MERCADO TE'!$U$5</f>
        <v>0</v>
      </c>
      <c r="J8" s="15"/>
      <c r="L8" s="20">
        <f>('TE BE'!$L$8+'TE BF'!$L$8+'TE CVA'!$L$8)*1</f>
        <v>0</v>
      </c>
      <c r="M8" s="20">
        <f>('TE BE'!$M$8+'TE BF'!$M$8+'TE CVA'!$M$8)*1</f>
        <v>0</v>
      </c>
      <c r="N8" s="20">
        <f>('TE BE'!$N$8+'TE BF'!$N$8+'TE CVA'!$N$8)*1</f>
        <v>0</v>
      </c>
      <c r="O8" s="20">
        <f>('TE BE'!$O$8+'TE BF'!$O$8+'TE CVA'!$O$8)*1</f>
        <v>0</v>
      </c>
      <c r="P8" s="20">
        <f>('TE BE'!$P$8+'TE BF'!$P$8+'TE CVA'!$P$8)*1</f>
        <v>0</v>
      </c>
      <c r="Q8" s="20">
        <f>('TE BE'!$R$8+'TE BF'!$R$8+'TE CVA'!$R$8)*1</f>
        <v>153.95741395122897</v>
      </c>
      <c r="R8" s="20">
        <f>('TE BE'!$T$8+'TE BF'!$T$8+'TE CVA'!$T$8)*1</f>
        <v>0</v>
      </c>
      <c r="S8" s="20">
        <f>('TE BE'!$U$8+'TE BF'!$U$8+'TE CVA'!$U$8)*1</f>
        <v>0</v>
      </c>
      <c r="T8" s="20">
        <f>('TE BE'!$V$8+'TE BF'!$V$8+'TE CVA'!$V$8)*1</f>
        <v>0</v>
      </c>
      <c r="U8" s="20">
        <f>('TE BE'!$X$8+'TE BF'!$X$8+'TE CVA'!$X$8)*1</f>
        <v>0</v>
      </c>
      <c r="V8" s="20">
        <f>('TE BE'!$Z$8+'TE BF'!$Z$8+'TE CVA'!$Z$8)*1</f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165.20608136713301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</row>
    <row r="9" spans="1:34" ht="11.25" customHeight="1" x14ac:dyDescent="0.25">
      <c r="A9" s="97"/>
      <c r="B9" s="97"/>
      <c r="C9" s="97"/>
      <c r="D9" s="97"/>
      <c r="E9" s="97"/>
      <c r="F9" s="97"/>
      <c r="G9" s="23" t="s">
        <v>72</v>
      </c>
      <c r="H9" s="23" t="s">
        <v>70</v>
      </c>
      <c r="I9" s="23">
        <f>'MERCADO TE'!$U$6</f>
        <v>0</v>
      </c>
      <c r="J9" s="15"/>
      <c r="L9" s="20">
        <f>('TE BE'!$L$9+'TE BF'!$L$9+'TE CVA'!$L$9)*1</f>
        <v>0</v>
      </c>
      <c r="M9" s="20">
        <f>('TE BE'!$M$9+'TE BF'!$M$9+'TE CVA'!$M$9)*1</f>
        <v>0</v>
      </c>
      <c r="N9" s="20">
        <f>('TE BE'!$N$9+'TE BF'!$N$9+'TE CVA'!$N$9)*1</f>
        <v>0</v>
      </c>
      <c r="O9" s="20">
        <f>('TE BE'!$O$9+'TE BF'!$O$9+'TE CVA'!$O$9)*1</f>
        <v>0</v>
      </c>
      <c r="P9" s="20">
        <f>('TE BE'!$P$9+'TE BF'!$P$9+'TE CVA'!$P$9)*1</f>
        <v>0</v>
      </c>
      <c r="Q9" s="20">
        <f>('TE BE'!$R$9+'TE BF'!$R$9+'TE CVA'!$R$9)*1</f>
        <v>153.95741395122897</v>
      </c>
      <c r="R9" s="20">
        <f>('TE BE'!$T$9+'TE BF'!$T$9+'TE CVA'!$T$9)*1</f>
        <v>0</v>
      </c>
      <c r="S9" s="20">
        <f>('TE BE'!$U$9+'TE BF'!$U$9+'TE CVA'!$U$9)*1</f>
        <v>0</v>
      </c>
      <c r="T9" s="20">
        <f>('TE BE'!$V$9+'TE BF'!$V$9+'TE CVA'!$V$9)*1</f>
        <v>0</v>
      </c>
      <c r="U9" s="20">
        <f>('TE BE'!$X$9+'TE BF'!$X$9+'TE CVA'!$X$9)*1</f>
        <v>0</v>
      </c>
      <c r="V9" s="20">
        <f>('TE BE'!$Z$9+'TE BF'!$Z$9+'TE CVA'!$Z$9)*1</f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165.20608136713301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</row>
    <row r="10" spans="1:34" ht="11.25" customHeight="1" x14ac:dyDescent="0.25">
      <c r="A10" s="97"/>
      <c r="B10" s="97" t="s">
        <v>84</v>
      </c>
      <c r="C10" s="97" t="s">
        <v>24</v>
      </c>
      <c r="D10" s="22" t="s">
        <v>24</v>
      </c>
      <c r="E10" s="22" t="s">
        <v>25</v>
      </c>
      <c r="F10" s="22" t="s">
        <v>25</v>
      </c>
      <c r="G10" s="23" t="s">
        <v>77</v>
      </c>
      <c r="H10" s="23" t="s">
        <v>70</v>
      </c>
      <c r="I10" s="23">
        <f>'MERCADO TE'!$U$7</f>
        <v>10122.061</v>
      </c>
      <c r="J10" s="15"/>
      <c r="L10" s="20">
        <f>('TE BE'!$L$10+'TE BF'!$L$10+'TE CVA'!$L$10)*1</f>
        <v>0</v>
      </c>
      <c r="M10" s="20">
        <f>('TE BE'!$M$10+'TE BF'!$M$10+'TE CVA'!$M$10)*1</f>
        <v>0</v>
      </c>
      <c r="N10" s="20">
        <f>('TE BE'!$N$10+'TE BF'!$N$10+'TE CVA'!$N$10)*1</f>
        <v>0</v>
      </c>
      <c r="O10" s="20">
        <f>('TE BE'!$O$10+'TE BF'!$O$10+'TE CVA'!$O$10)*1</f>
        <v>0</v>
      </c>
      <c r="P10" s="20">
        <f>('TE BE'!$P$10+'TE BF'!$P$10+'TE CVA'!$P$10)*1</f>
        <v>0</v>
      </c>
      <c r="Q10" s="20">
        <f>('TE BE'!$R$10+'TE BF'!$R$10+'TE CVA'!$R$10)*1</f>
        <v>153.95741395122897</v>
      </c>
      <c r="R10" s="20">
        <f>('TE BE'!$T$10+'TE BF'!$T$10+'TE CVA'!$T$10)*1</f>
        <v>0</v>
      </c>
      <c r="S10" s="20">
        <f>('TE BE'!$U$10+'TE BF'!$U$10+'TE CVA'!$U$10)*1</f>
        <v>0</v>
      </c>
      <c r="T10" s="20">
        <f>('TE BE'!$V$10+'TE BF'!$V$10+'TE CVA'!$V$10)*1</f>
        <v>0</v>
      </c>
      <c r="U10" s="20">
        <f>('TE BE'!$X$10+'TE BF'!$X$10+'TE CVA'!$X$10)*1</f>
        <v>0</v>
      </c>
      <c r="V10" s="20">
        <f>('TE BE'!$Z$10+'TE BF'!$Z$10+'TE CVA'!$Z$10)*1</f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165.20608136713301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</row>
    <row r="11" spans="1:34" ht="11.25" customHeight="1" x14ac:dyDescent="0.25">
      <c r="A11" s="97"/>
      <c r="B11" s="97"/>
      <c r="C11" s="97"/>
      <c r="D11" s="22" t="s">
        <v>29</v>
      </c>
      <c r="E11" s="22" t="s">
        <v>25</v>
      </c>
      <c r="F11" s="22" t="s">
        <v>25</v>
      </c>
      <c r="G11" s="23" t="s">
        <v>77</v>
      </c>
      <c r="H11" s="23" t="s">
        <v>70</v>
      </c>
      <c r="I11" s="23">
        <f>'MERCADO TE'!$U$8</f>
        <v>111.12200000000001</v>
      </c>
      <c r="J11" s="15"/>
      <c r="L11" s="20">
        <f>('TE BE'!$L$11+'TE BF'!$L$11+'TE CVA'!$L$11)*(1 - 0.65)</f>
        <v>0</v>
      </c>
      <c r="M11" s="20">
        <f>('TE BE'!$M$11+'TE BF'!$M$11+'TE CVA'!$M$11)*(1 - 0.65)</f>
        <v>0</v>
      </c>
      <c r="N11" s="20">
        <f>('TE BE'!$N$11+'TE BF'!$N$11+'TE CVA'!$N$11)*(1 - 0.65)</f>
        <v>0</v>
      </c>
      <c r="O11" s="20">
        <f>('TE BE'!$O$11+'TE BF'!$O$11+'TE CVA'!$O$11)*(1 - 0.65)</f>
        <v>0</v>
      </c>
      <c r="P11" s="20">
        <f>('TE BE'!$P$11+'TE BF'!$P$11+'TE CVA'!$P$11)*(1 - 0.65)</f>
        <v>0</v>
      </c>
      <c r="Q11" s="20">
        <f>('TE BE'!$R$11+'TE BF'!$R$11+'TE CVA'!$R$11)*(1 - 0.65)</f>
        <v>53.88509488293014</v>
      </c>
      <c r="R11" s="20">
        <f>('TE BE'!$T$11+'TE BF'!$T$11+'TE CVA'!$T$11)*(1 - 0.65)</f>
        <v>0</v>
      </c>
      <c r="S11" s="20">
        <f>('TE BE'!$U$11+'TE BF'!$U$11+'TE CVA'!$U$11)*(1 - 0.65)</f>
        <v>0</v>
      </c>
      <c r="T11" s="20">
        <f>('TE BE'!$V$11+'TE BF'!$V$11+'TE CVA'!$V$11)*(1 - 0.65)</f>
        <v>0</v>
      </c>
      <c r="U11" s="20">
        <f>('TE BE'!$X$11+'TE BF'!$X$11+'TE CVA'!$X$11)*(1 - 0.65)</f>
        <v>0</v>
      </c>
      <c r="V11" s="20">
        <f>('TE BE'!$Z$11+'TE BF'!$Z$11+'TE CVA'!$Z$11)*(1 - 0.65)</f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57.822128478496602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</row>
    <row r="12" spans="1:34" ht="11.25" customHeight="1" x14ac:dyDescent="0.25">
      <c r="A12" s="97"/>
      <c r="B12" s="97"/>
      <c r="C12" s="97"/>
      <c r="D12" s="22" t="s">
        <v>30</v>
      </c>
      <c r="E12" s="22" t="s">
        <v>25</v>
      </c>
      <c r="F12" s="22" t="s">
        <v>25</v>
      </c>
      <c r="G12" s="23" t="s">
        <v>77</v>
      </c>
      <c r="H12" s="23" t="s">
        <v>70</v>
      </c>
      <c r="I12" s="23">
        <f>'MERCADO TE'!$U$9</f>
        <v>223.66</v>
      </c>
      <c r="J12" s="15"/>
      <c r="L12" s="20">
        <f>('TE BE'!$L$12+'TE BF'!$L$12+'TE CVA'!$L$12)*(1 - 0.4)</f>
        <v>0</v>
      </c>
      <c r="M12" s="20">
        <f>('TE BE'!$M$12+'TE BF'!$M$12+'TE CVA'!$M$12)*(1 - 0.4)</f>
        <v>0</v>
      </c>
      <c r="N12" s="20">
        <f>('TE BE'!$N$12+'TE BF'!$N$12+'TE CVA'!$N$12)*(1 - 0.4)</f>
        <v>0</v>
      </c>
      <c r="O12" s="20">
        <f>('TE BE'!$O$12+'TE BF'!$O$12+'TE CVA'!$O$12)*(1 - 0.4)</f>
        <v>0</v>
      </c>
      <c r="P12" s="20">
        <f>('TE BE'!$P$12+'TE BF'!$P$12+'TE CVA'!$P$12)*(1 - 0.4)</f>
        <v>0</v>
      </c>
      <c r="Q12" s="20">
        <f>('TE BE'!$R$12+'TE BF'!$R$12+'TE CVA'!$R$12)*(1 - 0.4)</f>
        <v>92.374448370737383</v>
      </c>
      <c r="R12" s="20">
        <f>('TE BE'!$T$12+'TE BF'!$T$12+'TE CVA'!$T$12)*(1 - 0.4)</f>
        <v>0</v>
      </c>
      <c r="S12" s="20">
        <f>('TE BE'!$U$12+'TE BF'!$U$12+'TE CVA'!$U$12)*(1 - 0.4)</f>
        <v>0</v>
      </c>
      <c r="T12" s="20">
        <f>('TE BE'!$V$12+'TE BF'!$V$12+'TE CVA'!$V$12)*(1 - 0.4)</f>
        <v>0</v>
      </c>
      <c r="U12" s="20">
        <f>('TE BE'!$X$12+'TE BF'!$X$12+'TE CVA'!$X$12)*(1 - 0.4)</f>
        <v>0</v>
      </c>
      <c r="V12" s="20">
        <f>('TE BE'!$Z$12+'TE BF'!$Z$12+'TE CVA'!$Z$12)*(1 - 0.4)</f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99.123648820279897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</row>
    <row r="13" spans="1:34" ht="11.25" customHeight="1" x14ac:dyDescent="0.25">
      <c r="A13" s="97"/>
      <c r="B13" s="97"/>
      <c r="C13" s="97"/>
      <c r="D13" s="22" t="s">
        <v>31</v>
      </c>
      <c r="E13" s="22" t="s">
        <v>25</v>
      </c>
      <c r="F13" s="22" t="s">
        <v>25</v>
      </c>
      <c r="G13" s="23" t="s">
        <v>77</v>
      </c>
      <c r="H13" s="23" t="s">
        <v>70</v>
      </c>
      <c r="I13" s="23">
        <f>'MERCADO TE'!$U$10</f>
        <v>229.345</v>
      </c>
      <c r="J13" s="15"/>
      <c r="L13" s="20">
        <f>('TE BE'!$L$13+'TE BF'!$L$13+'TE CVA'!$L$13)*(1 - 0.1)</f>
        <v>0</v>
      </c>
      <c r="M13" s="20">
        <f>('TE BE'!$M$13+'TE BF'!$M$13+'TE CVA'!$M$13)*(1 - 0.1)</f>
        <v>0</v>
      </c>
      <c r="N13" s="20">
        <f>('TE BE'!$N$13+'TE BF'!$N$13+'TE CVA'!$N$13)*(1 - 0.1)</f>
        <v>0</v>
      </c>
      <c r="O13" s="20">
        <f>('TE BE'!$O$13+'TE BF'!$O$13+'TE CVA'!$O$13)*(1 - 0.1)</f>
        <v>0</v>
      </c>
      <c r="P13" s="20">
        <f>('TE BE'!$P$13+'TE BF'!$P$13+'TE CVA'!$P$13)*(1 - 0.1)</f>
        <v>0</v>
      </c>
      <c r="Q13" s="20">
        <f>('TE BE'!$R$13+'TE BF'!$R$13+'TE CVA'!$R$13)*(1 - 0.1)</f>
        <v>138.56167255610609</v>
      </c>
      <c r="R13" s="20">
        <f>('TE BE'!$T$13+'TE BF'!$T$13+'TE CVA'!$T$13)*(1 - 0.1)</f>
        <v>0</v>
      </c>
      <c r="S13" s="20">
        <f>('TE BE'!$U$13+'TE BF'!$U$13+'TE CVA'!$U$13)*(1 - 0.1)</f>
        <v>0</v>
      </c>
      <c r="T13" s="20">
        <f>('TE BE'!$V$13+'TE BF'!$V$13+'TE CVA'!$V$13)*(1 - 0.1)</f>
        <v>0</v>
      </c>
      <c r="U13" s="20">
        <f>('TE BE'!$X$13+'TE BF'!$X$13+'TE CVA'!$X$13)*(1 - 0.1)</f>
        <v>0</v>
      </c>
      <c r="V13" s="20">
        <f>('TE BE'!$Z$13+'TE BF'!$Z$13+'TE CVA'!$Z$13)*(1 - 0.1)</f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148.68547323042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</row>
    <row r="14" spans="1:34" ht="11.25" customHeight="1" x14ac:dyDescent="0.25">
      <c r="A14" s="97"/>
      <c r="B14" s="97"/>
      <c r="C14" s="97"/>
      <c r="D14" s="22" t="s">
        <v>32</v>
      </c>
      <c r="E14" s="22" t="s">
        <v>25</v>
      </c>
      <c r="F14" s="22" t="s">
        <v>25</v>
      </c>
      <c r="G14" s="23" t="s">
        <v>77</v>
      </c>
      <c r="H14" s="23" t="s">
        <v>70</v>
      </c>
      <c r="I14" s="23">
        <f>'MERCADO TE'!$U$11</f>
        <v>103.19500000000001</v>
      </c>
      <c r="J14" s="15"/>
      <c r="L14" s="20">
        <f>('TE BE'!$L$14+'TE BF'!$L$14+'TE CVA'!$L$14)*1</f>
        <v>0</v>
      </c>
      <c r="M14" s="20">
        <f>('TE BE'!$M$14+'TE BF'!$M$14+'TE CVA'!$M$14)*1</f>
        <v>0</v>
      </c>
      <c r="N14" s="20">
        <f>('TE BE'!$N$14+'TE BF'!$N$14+'TE CVA'!$N$14)*1</f>
        <v>0</v>
      </c>
      <c r="O14" s="20">
        <f>('TE BE'!$O$14+'TE BF'!$O$14+'TE CVA'!$O$14)*1</f>
        <v>0</v>
      </c>
      <c r="P14" s="20">
        <f>('TE BE'!$P$14+'TE BF'!$P$14+'TE CVA'!$P$14)*1</f>
        <v>0</v>
      </c>
      <c r="Q14" s="20">
        <f>('TE BE'!$R$14+'TE BF'!$R$14+'TE CVA'!$R$14)*1</f>
        <v>153.95741395122897</v>
      </c>
      <c r="R14" s="20">
        <f>('TE BE'!$T$14+'TE BF'!$T$14+'TE CVA'!$T$14)*1</f>
        <v>0</v>
      </c>
      <c r="S14" s="20">
        <f>('TE BE'!$U$14+'TE BF'!$U$14+'TE CVA'!$U$14)*1</f>
        <v>0</v>
      </c>
      <c r="T14" s="20">
        <f>('TE BE'!$V$14+'TE BF'!$V$14+'TE CVA'!$V$14)*1</f>
        <v>0</v>
      </c>
      <c r="U14" s="20">
        <f>('TE BE'!$X$14+'TE BF'!$X$14+'TE CVA'!$X$14)*1</f>
        <v>0</v>
      </c>
      <c r="V14" s="20">
        <f>('TE BE'!$Z$14+'TE BF'!$Z$14+'TE CVA'!$Z$14)*1</f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165.20608136713301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</row>
    <row r="15" spans="1:34" ht="11.25" customHeight="1" x14ac:dyDescent="0.25">
      <c r="A15" s="97"/>
      <c r="B15" s="97" t="s">
        <v>86</v>
      </c>
      <c r="C15" s="97" t="s">
        <v>24</v>
      </c>
      <c r="D15" s="22" t="s">
        <v>24</v>
      </c>
      <c r="E15" s="22" t="s">
        <v>25</v>
      </c>
      <c r="F15" s="22" t="s">
        <v>25</v>
      </c>
      <c r="G15" s="23" t="s">
        <v>77</v>
      </c>
      <c r="H15" s="23" t="s">
        <v>70</v>
      </c>
      <c r="I15" s="23">
        <f>'MERCADO TE'!$U$12</f>
        <v>0</v>
      </c>
      <c r="J15" s="15"/>
      <c r="L15" s="20">
        <f>('TE BE'!$L$15+'TE BF'!$L$15+'TE CVA'!$L$15)*1</f>
        <v>0</v>
      </c>
      <c r="M15" s="20">
        <f>('TE BE'!$M$15+'TE BF'!$M$15+'TE CVA'!$M$15)*1</f>
        <v>0</v>
      </c>
      <c r="N15" s="20">
        <f>('TE BE'!$N$15+'TE BF'!$N$15+'TE CVA'!$N$15)*1</f>
        <v>0</v>
      </c>
      <c r="O15" s="20">
        <f>('TE BE'!$O$15+'TE BF'!$O$15+'TE CVA'!$O$15)*1</f>
        <v>0</v>
      </c>
      <c r="P15" s="20">
        <f>('TE BE'!$P$15+'TE BF'!$P$15+'TE CVA'!$P$15)*1</f>
        <v>0</v>
      </c>
      <c r="Q15" s="20">
        <f>('TE BE'!$R$15+'TE BF'!$R$15+'TE CVA'!$R$15)*1</f>
        <v>153.95741395122897</v>
      </c>
      <c r="R15" s="20">
        <f>('TE BE'!$T$15+'TE BF'!$T$15+'TE CVA'!$T$15)*1</f>
        <v>0</v>
      </c>
      <c r="S15" s="20">
        <f>('TE BE'!$U$15+'TE BF'!$U$15+'TE CVA'!$U$15)*1</f>
        <v>0</v>
      </c>
      <c r="T15" s="20">
        <f>('TE BE'!$V$15+'TE BF'!$V$15+'TE CVA'!$V$15)*1</f>
        <v>0</v>
      </c>
      <c r="U15" s="20">
        <f>('TE BE'!$X$15+'TE BF'!$X$15+'TE CVA'!$X$15)*1</f>
        <v>0</v>
      </c>
      <c r="V15" s="20">
        <f>('TE BE'!$Z$15+'TE BF'!$Z$15+'TE CVA'!$Z$15)*1</f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165.20608136713301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</row>
    <row r="16" spans="1:34" ht="11.25" customHeight="1" x14ac:dyDescent="0.25">
      <c r="A16" s="97"/>
      <c r="B16" s="97"/>
      <c r="C16" s="97"/>
      <c r="D16" s="22" t="s">
        <v>29</v>
      </c>
      <c r="E16" s="22" t="s">
        <v>25</v>
      </c>
      <c r="F16" s="22" t="s">
        <v>25</v>
      </c>
      <c r="G16" s="23" t="s">
        <v>77</v>
      </c>
      <c r="H16" s="23" t="s">
        <v>70</v>
      </c>
      <c r="I16" s="23">
        <f>'MERCADO TE'!$U$13</f>
        <v>0</v>
      </c>
      <c r="J16" s="15"/>
      <c r="L16" s="20">
        <f>('TE BE'!$L$16+'TE BF'!$L$16+'TE CVA'!$L$16)*(1 - 0.65)</f>
        <v>0</v>
      </c>
      <c r="M16" s="20">
        <f>('TE BE'!$M$16+'TE BF'!$M$16+'TE CVA'!$M$16)*(1 - 0.65)</f>
        <v>0</v>
      </c>
      <c r="N16" s="20">
        <f>('TE BE'!$N$16+'TE BF'!$N$16+'TE CVA'!$N$16)*(1 - 0.65)</f>
        <v>0</v>
      </c>
      <c r="O16" s="20">
        <f>('TE BE'!$O$16+'TE BF'!$O$16+'TE CVA'!$O$16)*(1 - 0.65)</f>
        <v>0</v>
      </c>
      <c r="P16" s="20">
        <f>('TE BE'!$P$16+'TE BF'!$P$16+'TE CVA'!$P$16)*(1 - 0.65)</f>
        <v>0</v>
      </c>
      <c r="Q16" s="20">
        <f>('TE BE'!$R$16+'TE BF'!$R$16+'TE CVA'!$R$16)*(1 - 0.65)</f>
        <v>53.88509488293014</v>
      </c>
      <c r="R16" s="20">
        <f>('TE BE'!$T$16+'TE BF'!$T$16+'TE CVA'!$T$16)*(1 - 0.65)</f>
        <v>0</v>
      </c>
      <c r="S16" s="20">
        <f>('TE BE'!$U$16+'TE BF'!$U$16+'TE CVA'!$U$16)*(1 - 0.65)</f>
        <v>0</v>
      </c>
      <c r="T16" s="20">
        <f>('TE BE'!$V$16+'TE BF'!$V$16+'TE CVA'!$V$16)*(1 - 0.65)</f>
        <v>0</v>
      </c>
      <c r="U16" s="20">
        <f>('TE BE'!$X$16+'TE BF'!$X$16+'TE CVA'!$X$16)*(1 - 0.65)</f>
        <v>0</v>
      </c>
      <c r="V16" s="20">
        <f>('TE BE'!$Z$16+'TE BF'!$Z$16+'TE CVA'!$Z$16)*(1 - 0.65)</f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57.822128478496602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</row>
    <row r="17" spans="1:34" ht="11.25" customHeight="1" x14ac:dyDescent="0.25">
      <c r="A17" s="97"/>
      <c r="B17" s="97"/>
      <c r="C17" s="97"/>
      <c r="D17" s="22" t="s">
        <v>30</v>
      </c>
      <c r="E17" s="22" t="s">
        <v>25</v>
      </c>
      <c r="F17" s="22" t="s">
        <v>25</v>
      </c>
      <c r="G17" s="23" t="s">
        <v>77</v>
      </c>
      <c r="H17" s="23" t="s">
        <v>70</v>
      </c>
      <c r="I17" s="23">
        <f>'MERCADO TE'!$U$14</f>
        <v>0</v>
      </c>
      <c r="J17" s="15"/>
      <c r="L17" s="20">
        <f>('TE BE'!$L$17+'TE BF'!$L$17+'TE CVA'!$L$17)*(1 - 0.4)</f>
        <v>0</v>
      </c>
      <c r="M17" s="20">
        <f>('TE BE'!$M$17+'TE BF'!$M$17+'TE CVA'!$M$17)*(1 - 0.4)</f>
        <v>0</v>
      </c>
      <c r="N17" s="20">
        <f>('TE BE'!$N$17+'TE BF'!$N$17+'TE CVA'!$N$17)*(1 - 0.4)</f>
        <v>0</v>
      </c>
      <c r="O17" s="20">
        <f>('TE BE'!$O$17+'TE BF'!$O$17+'TE CVA'!$O$17)*(1 - 0.4)</f>
        <v>0</v>
      </c>
      <c r="P17" s="20">
        <f>('TE BE'!$P$17+'TE BF'!$P$17+'TE CVA'!$P$17)*(1 - 0.4)</f>
        <v>0</v>
      </c>
      <c r="Q17" s="20">
        <f>('TE BE'!$R$17+'TE BF'!$R$17+'TE CVA'!$R$17)*(1 - 0.4)</f>
        <v>92.374448370737383</v>
      </c>
      <c r="R17" s="20">
        <f>('TE BE'!$T$17+'TE BF'!$T$17+'TE CVA'!$T$17)*(1 - 0.4)</f>
        <v>0</v>
      </c>
      <c r="S17" s="20">
        <f>('TE BE'!$U$17+'TE BF'!$U$17+'TE CVA'!$U$17)*(1 - 0.4)</f>
        <v>0</v>
      </c>
      <c r="T17" s="20">
        <f>('TE BE'!$V$17+'TE BF'!$V$17+'TE CVA'!$V$17)*(1 - 0.4)</f>
        <v>0</v>
      </c>
      <c r="U17" s="20">
        <f>('TE BE'!$X$17+'TE BF'!$X$17+'TE CVA'!$X$17)*(1 - 0.4)</f>
        <v>0</v>
      </c>
      <c r="V17" s="20">
        <f>('TE BE'!$Z$17+'TE BF'!$Z$17+'TE CVA'!$Z$17)*(1 - 0.4)</f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99.123648820279897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</row>
    <row r="18" spans="1:34" ht="11.25" customHeight="1" x14ac:dyDescent="0.25">
      <c r="A18" s="97"/>
      <c r="B18" s="97"/>
      <c r="C18" s="97"/>
      <c r="D18" s="22" t="s">
        <v>31</v>
      </c>
      <c r="E18" s="22" t="s">
        <v>25</v>
      </c>
      <c r="F18" s="22" t="s">
        <v>25</v>
      </c>
      <c r="G18" s="23" t="s">
        <v>77</v>
      </c>
      <c r="H18" s="23" t="s">
        <v>70</v>
      </c>
      <c r="I18" s="23">
        <f>'MERCADO TE'!$U$15</f>
        <v>0</v>
      </c>
      <c r="J18" s="15"/>
      <c r="L18" s="20">
        <f>('TE BE'!$L$18+'TE BF'!$L$18+'TE CVA'!$L$18)*(1 - 0.1)</f>
        <v>0</v>
      </c>
      <c r="M18" s="20">
        <f>('TE BE'!$M$18+'TE BF'!$M$18+'TE CVA'!$M$18)*(1 - 0.1)</f>
        <v>0</v>
      </c>
      <c r="N18" s="20">
        <f>('TE BE'!$N$18+'TE BF'!$N$18+'TE CVA'!$N$18)*(1 - 0.1)</f>
        <v>0</v>
      </c>
      <c r="O18" s="20">
        <f>('TE BE'!$O$18+'TE BF'!$O$18+'TE CVA'!$O$18)*(1 - 0.1)</f>
        <v>0</v>
      </c>
      <c r="P18" s="20">
        <f>('TE BE'!$P$18+'TE BF'!$P$18+'TE CVA'!$P$18)*(1 - 0.1)</f>
        <v>0</v>
      </c>
      <c r="Q18" s="20">
        <f>('TE BE'!$R$18+'TE BF'!$R$18+'TE CVA'!$R$18)*(1 - 0.1)</f>
        <v>138.56167255610609</v>
      </c>
      <c r="R18" s="20">
        <f>('TE BE'!$T$18+'TE BF'!$T$18+'TE CVA'!$T$18)*(1 - 0.1)</f>
        <v>0</v>
      </c>
      <c r="S18" s="20">
        <f>('TE BE'!$U$18+'TE BF'!$U$18+'TE CVA'!$U$18)*(1 - 0.1)</f>
        <v>0</v>
      </c>
      <c r="T18" s="20">
        <f>('TE BE'!$V$18+'TE BF'!$V$18+'TE CVA'!$V$18)*(1 - 0.1)</f>
        <v>0</v>
      </c>
      <c r="U18" s="20">
        <f>('TE BE'!$X$18+'TE BF'!$X$18+'TE CVA'!$X$18)*(1 - 0.1)</f>
        <v>0</v>
      </c>
      <c r="V18" s="20">
        <f>('TE BE'!$Z$18+'TE BF'!$Z$18+'TE CVA'!$Z$18)*(1 - 0.1)</f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148.68547323042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</row>
    <row r="19" spans="1:34" ht="11.25" customHeight="1" x14ac:dyDescent="0.25">
      <c r="A19" s="97"/>
      <c r="B19" s="97"/>
      <c r="C19" s="97"/>
      <c r="D19" s="22" t="s">
        <v>32</v>
      </c>
      <c r="E19" s="22" t="s">
        <v>25</v>
      </c>
      <c r="F19" s="22" t="s">
        <v>25</v>
      </c>
      <c r="G19" s="23" t="s">
        <v>77</v>
      </c>
      <c r="H19" s="23" t="s">
        <v>70</v>
      </c>
      <c r="I19" s="23">
        <f>'MERCADO TE'!$U$16</f>
        <v>0</v>
      </c>
      <c r="J19" s="15"/>
      <c r="L19" s="20">
        <f>('TE BE'!$L$19+'TE BF'!$L$19+'TE CVA'!$L$19)*1</f>
        <v>0</v>
      </c>
      <c r="M19" s="20">
        <f>('TE BE'!$M$19+'TE BF'!$M$19+'TE CVA'!$M$19)*1</f>
        <v>0</v>
      </c>
      <c r="N19" s="20">
        <f>('TE BE'!$N$19+'TE BF'!$N$19+'TE CVA'!$N$19)*1</f>
        <v>0</v>
      </c>
      <c r="O19" s="20">
        <f>('TE BE'!$O$19+'TE BF'!$O$19+'TE CVA'!$O$19)*1</f>
        <v>0</v>
      </c>
      <c r="P19" s="20">
        <f>('TE BE'!$P$19+'TE BF'!$P$19+'TE CVA'!$P$19)*1</f>
        <v>0</v>
      </c>
      <c r="Q19" s="20">
        <f>('TE BE'!$R$19+'TE BF'!$R$19+'TE CVA'!$R$19)*1</f>
        <v>153.95741395122897</v>
      </c>
      <c r="R19" s="20">
        <f>('TE BE'!$T$19+'TE BF'!$T$19+'TE CVA'!$T$19)*1</f>
        <v>0</v>
      </c>
      <c r="S19" s="20">
        <f>('TE BE'!$U$19+'TE BF'!$U$19+'TE CVA'!$U$19)*1</f>
        <v>0</v>
      </c>
      <c r="T19" s="20">
        <f>('TE BE'!$V$19+'TE BF'!$V$19+'TE CVA'!$V$19)*1</f>
        <v>0</v>
      </c>
      <c r="U19" s="20">
        <f>('TE BE'!$X$19+'TE BF'!$X$19+'TE CVA'!$X$19)*1</f>
        <v>0</v>
      </c>
      <c r="V19" s="20">
        <f>('TE BE'!$Z$19+'TE BF'!$Z$19+'TE CVA'!$Z$19)*1</f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165.20608136713301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</row>
    <row r="20" spans="1:34" ht="11.25" customHeight="1" x14ac:dyDescent="0.25">
      <c r="A20" s="97" t="s">
        <v>40</v>
      </c>
      <c r="B20" s="97" t="s">
        <v>69</v>
      </c>
      <c r="C20" s="97" t="s">
        <v>41</v>
      </c>
      <c r="D20" s="97" t="s">
        <v>25</v>
      </c>
      <c r="E20" s="97" t="s">
        <v>25</v>
      </c>
      <c r="F20" s="97" t="s">
        <v>25</v>
      </c>
      <c r="G20" s="23" t="s">
        <v>71</v>
      </c>
      <c r="H20" s="23" t="s">
        <v>70</v>
      </c>
      <c r="I20" s="23">
        <f>'MERCADO TE'!$U$17</f>
        <v>0</v>
      </c>
      <c r="J20" s="15"/>
      <c r="L20" s="20">
        <f>('TE BE'!$L$20+'TE BF'!$L$20+'TE CVA'!$L$20)*(1 - CUSTOS!$M$38)</f>
        <v>0</v>
      </c>
      <c r="M20" s="20">
        <f>('TE BE'!$M$20+'TE BF'!$M$20+'TE CVA'!$M$20)*(1 - CUSTOS!$M$38)</f>
        <v>0</v>
      </c>
      <c r="N20" s="20">
        <f>('TE BE'!$N$20+'TE BF'!$N$20+'TE CVA'!$N$20)*(1 - CUSTOS!$M$38)</f>
        <v>0</v>
      </c>
      <c r="O20" s="20">
        <f>('TE BE'!$O$20+'TE BF'!$O$20+'TE CVA'!$O$20)*(1 - CUSTOS!$M$38)</f>
        <v>0</v>
      </c>
      <c r="P20" s="20">
        <f>('TE BE'!$P$20+'TE BF'!$P$20+'TE CVA'!$P$20)*(1 - CUSTOS!$M$38)</f>
        <v>0</v>
      </c>
      <c r="Q20" s="20">
        <f>('TE BE'!$R$20+'TE BF'!$R$20+'TE CVA'!$R$20)*(1 - CUSTOS!$M$38)</f>
        <v>144.71996911415522</v>
      </c>
      <c r="R20" s="20">
        <f>('TE BE'!$T$20+'TE BF'!$T$20+'TE CVA'!$T$20)*(1 - CUSTOS!$M$38)</f>
        <v>0</v>
      </c>
      <c r="S20" s="20">
        <f>('TE BE'!$U$20+'TE BF'!$U$20+'TE CVA'!$U$20)*(1 - CUSTOS!$M$38)</f>
        <v>0</v>
      </c>
      <c r="T20" s="20">
        <f>('TE BE'!$V$20+'TE BF'!$V$20+'TE CVA'!$V$20)*(1 - CUSTOS!$M$38)</f>
        <v>0</v>
      </c>
      <c r="U20" s="20">
        <f>('TE BE'!$X$20+'TE BF'!$X$20+'TE CVA'!$X$20)*(1 - CUSTOS!$M$38)</f>
        <v>0</v>
      </c>
      <c r="V20" s="20">
        <f>('TE BE'!$Z$20+'TE BF'!$Z$20+'TE CVA'!$Z$20)*(1 - CUSTOS!$M$38)</f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145.38135160307701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</row>
    <row r="21" spans="1:34" ht="11.25" customHeight="1" x14ac:dyDescent="0.25">
      <c r="A21" s="97"/>
      <c r="B21" s="97"/>
      <c r="C21" s="97"/>
      <c r="D21" s="97"/>
      <c r="E21" s="97"/>
      <c r="F21" s="97"/>
      <c r="G21" s="23" t="s">
        <v>83</v>
      </c>
      <c r="H21" s="23" t="s">
        <v>70</v>
      </c>
      <c r="I21" s="23">
        <f>'MERCADO TE'!$U$18</f>
        <v>0</v>
      </c>
      <c r="J21" s="15"/>
      <c r="L21" s="20">
        <f>('TE BE'!$L$21+'TE BF'!$L$21+'TE CVA'!$L$21)*(1 - CUSTOS!$M$38)</f>
        <v>0</v>
      </c>
      <c r="M21" s="20">
        <f>('TE BE'!$M$21+'TE BF'!$M$21+'TE CVA'!$M$21)*(1 - CUSTOS!$M$38)</f>
        <v>0</v>
      </c>
      <c r="N21" s="20">
        <f>('TE BE'!$N$21+'TE BF'!$N$21+'TE CVA'!$N$21)*(1 - CUSTOS!$M$38)</f>
        <v>0</v>
      </c>
      <c r="O21" s="20">
        <f>('TE BE'!$O$21+'TE BF'!$O$21+'TE CVA'!$O$21)*(1 - CUSTOS!$M$38)</f>
        <v>0</v>
      </c>
      <c r="P21" s="20">
        <f>('TE BE'!$P$21+'TE BF'!$P$21+'TE CVA'!$P$21)*(1 - CUSTOS!$M$38)</f>
        <v>0</v>
      </c>
      <c r="Q21" s="20">
        <f>('TE BE'!$R$21+'TE BF'!$R$21+'TE CVA'!$R$21)*(1 - CUSTOS!$M$38)</f>
        <v>144.71996911415522</v>
      </c>
      <c r="R21" s="20">
        <f>('TE BE'!$T$21+'TE BF'!$T$21+'TE CVA'!$T$21)*(1 - CUSTOS!$M$38)</f>
        <v>0</v>
      </c>
      <c r="S21" s="20">
        <f>('TE BE'!$U$21+'TE BF'!$U$21+'TE CVA'!$U$21)*(1 - CUSTOS!$M$38)</f>
        <v>0</v>
      </c>
      <c r="T21" s="20">
        <f>('TE BE'!$V$21+'TE BF'!$V$21+'TE CVA'!$V$21)*(1 - CUSTOS!$M$38)</f>
        <v>0</v>
      </c>
      <c r="U21" s="20">
        <f>('TE BE'!$X$21+'TE BF'!$X$21+'TE CVA'!$X$21)*(1 - CUSTOS!$M$38)</f>
        <v>0</v>
      </c>
      <c r="V21" s="20">
        <f>('TE BE'!$Z$21+'TE BF'!$Z$21+'TE CVA'!$Z$21)*(1 - CUSTOS!$M$38)</f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145.38135160307701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</row>
    <row r="22" spans="1:34" ht="11.25" customHeight="1" x14ac:dyDescent="0.25">
      <c r="A22" s="97"/>
      <c r="B22" s="97"/>
      <c r="C22" s="97"/>
      <c r="D22" s="97"/>
      <c r="E22" s="97"/>
      <c r="F22" s="97"/>
      <c r="G22" s="23" t="s">
        <v>72</v>
      </c>
      <c r="H22" s="23" t="s">
        <v>70</v>
      </c>
      <c r="I22" s="23">
        <f>'MERCADO TE'!$U$19</f>
        <v>0</v>
      </c>
      <c r="J22" s="15"/>
      <c r="L22" s="20">
        <f>('TE BE'!$L$22+'TE BF'!$L$22+'TE CVA'!$L$22)*(1 - CUSTOS!$M$38)</f>
        <v>0</v>
      </c>
      <c r="M22" s="20">
        <f>('TE BE'!$M$22+'TE BF'!$M$22+'TE CVA'!$M$22)*(1 - CUSTOS!$M$38)</f>
        <v>0</v>
      </c>
      <c r="N22" s="20">
        <f>('TE BE'!$N$22+'TE BF'!$N$22+'TE CVA'!$N$22)*(1 - CUSTOS!$M$38)</f>
        <v>0</v>
      </c>
      <c r="O22" s="20">
        <f>('TE BE'!$O$22+'TE BF'!$O$22+'TE CVA'!$O$22)*(1 - CUSTOS!$M$38)</f>
        <v>0</v>
      </c>
      <c r="P22" s="20">
        <f>('TE BE'!$P$22+'TE BF'!$P$22+'TE CVA'!$P$22)*(1 - CUSTOS!$M$38)</f>
        <v>0</v>
      </c>
      <c r="Q22" s="20">
        <f>('TE BE'!$R$22+'TE BF'!$R$22+'TE CVA'!$R$22)*(1 - CUSTOS!$M$38)</f>
        <v>144.71996911415522</v>
      </c>
      <c r="R22" s="20">
        <f>('TE BE'!$T$22+'TE BF'!$T$22+'TE CVA'!$T$22)*(1 - CUSTOS!$M$38)</f>
        <v>0</v>
      </c>
      <c r="S22" s="20">
        <f>('TE BE'!$U$22+'TE BF'!$U$22+'TE CVA'!$U$22)*(1 - CUSTOS!$M$38)</f>
        <v>0</v>
      </c>
      <c r="T22" s="20">
        <f>('TE BE'!$V$22+'TE BF'!$V$22+'TE CVA'!$V$22)*(1 - CUSTOS!$M$38)</f>
        <v>0</v>
      </c>
      <c r="U22" s="20">
        <f>('TE BE'!$X$22+'TE BF'!$X$22+'TE CVA'!$X$22)*(1 - CUSTOS!$M$38)</f>
        <v>0</v>
      </c>
      <c r="V22" s="20">
        <f>('TE BE'!$Z$22+'TE BF'!$Z$22+'TE CVA'!$Z$22)*(1 - CUSTOS!$M$38)</f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145.38135160307701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</row>
    <row r="23" spans="1:34" ht="11.25" customHeight="1" x14ac:dyDescent="0.25">
      <c r="A23" s="97"/>
      <c r="B23" s="22" t="s">
        <v>84</v>
      </c>
      <c r="C23" s="22" t="s">
        <v>41</v>
      </c>
      <c r="D23" s="22" t="s">
        <v>25</v>
      </c>
      <c r="E23" s="22" t="s">
        <v>25</v>
      </c>
      <c r="F23" s="22" t="s">
        <v>25</v>
      </c>
      <c r="G23" s="23" t="s">
        <v>77</v>
      </c>
      <c r="H23" s="23" t="s">
        <v>70</v>
      </c>
      <c r="I23" s="23">
        <f>'MERCADO TE'!$U$20</f>
        <v>3283.42</v>
      </c>
      <c r="J23" s="15"/>
      <c r="L23" s="20">
        <f>('TE BE'!$L$23+'TE BF'!$L$23+'TE CVA'!$L$23)*(1 - CUSTOS!$M$38)</f>
        <v>0</v>
      </c>
      <c r="M23" s="20">
        <f>('TE BE'!$M$23+'TE BF'!$M$23+'TE CVA'!$M$23)*(1 - CUSTOS!$M$38)</f>
        <v>0</v>
      </c>
      <c r="N23" s="20">
        <f>('TE BE'!$N$23+'TE BF'!$N$23+'TE CVA'!$N$23)*(1 - CUSTOS!$M$38)</f>
        <v>0</v>
      </c>
      <c r="O23" s="20">
        <f>('TE BE'!$O$23+'TE BF'!$O$23+'TE CVA'!$O$23)*(1 - CUSTOS!$M$38)</f>
        <v>0</v>
      </c>
      <c r="P23" s="20">
        <f>('TE BE'!$P$23+'TE BF'!$P$23+'TE CVA'!$P$23)*(1 - CUSTOS!$M$38)</f>
        <v>0</v>
      </c>
      <c r="Q23" s="20">
        <f>('TE BE'!$R$23+'TE BF'!$R$23+'TE CVA'!$R$23)*(1 - CUSTOS!$M$38)</f>
        <v>144.71996911415522</v>
      </c>
      <c r="R23" s="20">
        <f>('TE BE'!$T$23+'TE BF'!$T$23+'TE CVA'!$T$23)*(1 - CUSTOS!$M$38)</f>
        <v>0</v>
      </c>
      <c r="S23" s="20">
        <f>('TE BE'!$U$23+'TE BF'!$U$23+'TE CVA'!$U$23)*(1 - CUSTOS!$M$38)</f>
        <v>0</v>
      </c>
      <c r="T23" s="20">
        <f>('TE BE'!$V$23+'TE BF'!$V$23+'TE CVA'!$V$23)*(1 - CUSTOS!$M$38)</f>
        <v>0</v>
      </c>
      <c r="U23" s="20">
        <f>('TE BE'!$X$23+'TE BF'!$X$23+'TE CVA'!$X$23)*(1 - CUSTOS!$M$38)</f>
        <v>0</v>
      </c>
      <c r="V23" s="20">
        <f>('TE BE'!$Z$23+'TE BF'!$Z$23+'TE CVA'!$Z$23)*(1 - CUSTOS!$M$38)</f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145.38135160307701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</row>
    <row r="24" spans="1:34" ht="11.25" customHeight="1" x14ac:dyDescent="0.25">
      <c r="A24" s="97"/>
      <c r="B24" s="97" t="s">
        <v>69</v>
      </c>
      <c r="C24" s="97" t="s">
        <v>41</v>
      </c>
      <c r="D24" s="97" t="s">
        <v>88</v>
      </c>
      <c r="E24" s="97" t="s">
        <v>25</v>
      </c>
      <c r="F24" s="97" t="s">
        <v>25</v>
      </c>
      <c r="G24" s="23" t="s">
        <v>71</v>
      </c>
      <c r="H24" s="23" t="s">
        <v>70</v>
      </c>
      <c r="I24" s="23">
        <f>'MERCADO TE'!$U$21</f>
        <v>0</v>
      </c>
      <c r="J24" s="15"/>
      <c r="L24" s="20">
        <f>('TE BE'!$L$24+'TE BF'!$L$24+'TE CVA'!$L$24)*(1 - CUSTOS!$M$39)</f>
        <v>0</v>
      </c>
      <c r="M24" s="20">
        <f>('TE BE'!$M$24+'TE BF'!$M$24+'TE CVA'!$M$24)*(1 - CUSTOS!$M$39)</f>
        <v>0</v>
      </c>
      <c r="N24" s="20">
        <f>('TE BE'!$N$24+'TE BF'!$N$24+'TE CVA'!$N$24)*(1 - CUSTOS!$M$39)</f>
        <v>0</v>
      </c>
      <c r="O24" s="20">
        <f>('TE BE'!$O$24+'TE BF'!$O$24+'TE CVA'!$O$24)*(1 - CUSTOS!$M$39)</f>
        <v>0</v>
      </c>
      <c r="P24" s="20">
        <f>('TE BE'!$P$24+'TE BF'!$P$24+'TE CVA'!$P$24)*(1 - CUSTOS!$M$39)</f>
        <v>0</v>
      </c>
      <c r="Q24" s="20">
        <f>('TE BE'!$R$24+'TE BF'!$R$24+'TE CVA'!$R$24)*(1 - CUSTOS!$M$39)</f>
        <v>144.71996911415522</v>
      </c>
      <c r="R24" s="20">
        <f>('TE BE'!$T$24+'TE BF'!$T$24+'TE CVA'!$T$24)*(1 - CUSTOS!$M$39)</f>
        <v>0</v>
      </c>
      <c r="S24" s="20">
        <f>('TE BE'!$U$24+'TE BF'!$U$24+'TE CVA'!$U$24)*(1 - CUSTOS!$M$39)</f>
        <v>0</v>
      </c>
      <c r="T24" s="20">
        <f>('TE BE'!$V$24+'TE BF'!$V$24+'TE CVA'!$V$24)*(1 - CUSTOS!$M$39)</f>
        <v>0</v>
      </c>
      <c r="U24" s="20">
        <f>('TE BE'!$X$24+'TE BF'!$X$24+'TE CVA'!$X$24)*(1 - CUSTOS!$M$39)</f>
        <v>0</v>
      </c>
      <c r="V24" s="20">
        <f>('TE BE'!$Z$24+'TE BF'!$Z$24+'TE CVA'!$Z$24)*(1 - CUSTOS!$M$39)</f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145.38135160307701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</row>
    <row r="25" spans="1:34" ht="11.25" customHeight="1" x14ac:dyDescent="0.25">
      <c r="A25" s="97"/>
      <c r="B25" s="97"/>
      <c r="C25" s="97"/>
      <c r="D25" s="97"/>
      <c r="E25" s="97"/>
      <c r="F25" s="97"/>
      <c r="G25" s="23" t="s">
        <v>83</v>
      </c>
      <c r="H25" s="23" t="s">
        <v>70</v>
      </c>
      <c r="I25" s="23">
        <f>'MERCADO TE'!$U$22</f>
        <v>0</v>
      </c>
      <c r="J25" s="15"/>
      <c r="L25" s="20">
        <f>('TE BE'!$L$25+'TE BF'!$L$25+'TE CVA'!$L$25)*(1 - CUSTOS!$M$39)</f>
        <v>0</v>
      </c>
      <c r="M25" s="20">
        <f>('TE BE'!$M$25+'TE BF'!$M$25+'TE CVA'!$M$25)*(1 - CUSTOS!$M$39)</f>
        <v>0</v>
      </c>
      <c r="N25" s="20">
        <f>('TE BE'!$N$25+'TE BF'!$N$25+'TE CVA'!$N$25)*(1 - CUSTOS!$M$39)</f>
        <v>0</v>
      </c>
      <c r="O25" s="20">
        <f>('TE BE'!$O$25+'TE BF'!$O$25+'TE CVA'!$O$25)*(1 - CUSTOS!$M$39)</f>
        <v>0</v>
      </c>
      <c r="P25" s="20">
        <f>('TE BE'!$P$25+'TE BF'!$P$25+'TE CVA'!$P$25)*(1 - CUSTOS!$M$39)</f>
        <v>0</v>
      </c>
      <c r="Q25" s="20">
        <f>('TE BE'!$R$25+'TE BF'!$R$25+'TE CVA'!$R$25)*(1 - CUSTOS!$M$39)</f>
        <v>144.71996911415522</v>
      </c>
      <c r="R25" s="20">
        <f>('TE BE'!$T$25+'TE BF'!$T$25+'TE CVA'!$T$25)*(1 - CUSTOS!$M$39)</f>
        <v>0</v>
      </c>
      <c r="S25" s="20">
        <f>('TE BE'!$U$25+'TE BF'!$U$25+'TE CVA'!$U$25)*(1 - CUSTOS!$M$39)</f>
        <v>0</v>
      </c>
      <c r="T25" s="20">
        <f>('TE BE'!$V$25+'TE BF'!$V$25+'TE CVA'!$V$25)*(1 - CUSTOS!$M$39)</f>
        <v>0</v>
      </c>
      <c r="U25" s="20">
        <f>('TE BE'!$X$25+'TE BF'!$X$25+'TE CVA'!$X$25)*(1 - CUSTOS!$M$39)</f>
        <v>0</v>
      </c>
      <c r="V25" s="20">
        <f>('TE BE'!$Z$25+'TE BF'!$Z$25+'TE CVA'!$Z$25)*(1 - CUSTOS!$M$39)</f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145.38135160307701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</row>
    <row r="26" spans="1:34" ht="11.25" customHeight="1" x14ac:dyDescent="0.25">
      <c r="A26" s="97"/>
      <c r="B26" s="97"/>
      <c r="C26" s="97"/>
      <c r="D26" s="97"/>
      <c r="E26" s="97"/>
      <c r="F26" s="97"/>
      <c r="G26" s="23" t="s">
        <v>72</v>
      </c>
      <c r="H26" s="23" t="s">
        <v>70</v>
      </c>
      <c r="I26" s="23">
        <f>'MERCADO TE'!$U$23</f>
        <v>0</v>
      </c>
      <c r="J26" s="15"/>
      <c r="L26" s="20">
        <f>('TE BE'!$L$26+'TE BF'!$L$26+'TE CVA'!$L$26)*(1 - CUSTOS!$M$39)</f>
        <v>0</v>
      </c>
      <c r="M26" s="20">
        <f>('TE BE'!$M$26+'TE BF'!$M$26+'TE CVA'!$M$26)*(1 - CUSTOS!$M$39)</f>
        <v>0</v>
      </c>
      <c r="N26" s="20">
        <f>('TE BE'!$N$26+'TE BF'!$N$26+'TE CVA'!$N$26)*(1 - CUSTOS!$M$39)</f>
        <v>0</v>
      </c>
      <c r="O26" s="20">
        <f>('TE BE'!$O$26+'TE BF'!$O$26+'TE CVA'!$O$26)*(1 - CUSTOS!$M$39)</f>
        <v>0</v>
      </c>
      <c r="P26" s="20">
        <f>('TE BE'!$P$26+'TE BF'!$P$26+'TE CVA'!$P$26)*(1 - CUSTOS!$M$39)</f>
        <v>0</v>
      </c>
      <c r="Q26" s="20">
        <f>('TE BE'!$R$26+'TE BF'!$R$26+'TE CVA'!$R$26)*(1 - CUSTOS!$M$39)</f>
        <v>144.71996911415522</v>
      </c>
      <c r="R26" s="20">
        <f>('TE BE'!$T$26+'TE BF'!$T$26+'TE CVA'!$T$26)*(1 - CUSTOS!$M$39)</f>
        <v>0</v>
      </c>
      <c r="S26" s="20">
        <f>('TE BE'!$U$26+'TE BF'!$U$26+'TE CVA'!$U$26)*(1 - CUSTOS!$M$39)</f>
        <v>0</v>
      </c>
      <c r="T26" s="20">
        <f>('TE BE'!$V$26+'TE BF'!$V$26+'TE CVA'!$V$26)*(1 - CUSTOS!$M$39)</f>
        <v>0</v>
      </c>
      <c r="U26" s="20">
        <f>('TE BE'!$X$26+'TE BF'!$X$26+'TE CVA'!$X$26)*(1 - CUSTOS!$M$39)</f>
        <v>0</v>
      </c>
      <c r="V26" s="20">
        <f>('TE BE'!$Z$26+'TE BF'!$Z$26+'TE CVA'!$Z$26)*(1 - CUSTOS!$M$39)</f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145.38135160307701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</row>
    <row r="27" spans="1:34" ht="11.25" customHeight="1" x14ac:dyDescent="0.25">
      <c r="A27" s="97"/>
      <c r="B27" s="22" t="s">
        <v>84</v>
      </c>
      <c r="C27" s="22" t="s">
        <v>41</v>
      </c>
      <c r="D27" s="22" t="s">
        <v>88</v>
      </c>
      <c r="E27" s="22" t="s">
        <v>25</v>
      </c>
      <c r="F27" s="22" t="s">
        <v>25</v>
      </c>
      <c r="G27" s="23" t="s">
        <v>77</v>
      </c>
      <c r="H27" s="23" t="s">
        <v>70</v>
      </c>
      <c r="I27" s="23">
        <f>'MERCADO TE'!$U$24</f>
        <v>0</v>
      </c>
      <c r="J27" s="15"/>
      <c r="L27" s="20">
        <f>('TE BE'!$L$27+'TE BF'!$L$27+'TE CVA'!$L$27)*(1 - CUSTOS!$M$39)</f>
        <v>0</v>
      </c>
      <c r="M27" s="20">
        <f>('TE BE'!$M$27+'TE BF'!$M$27+'TE CVA'!$M$27)*(1 - CUSTOS!$M$39)</f>
        <v>0</v>
      </c>
      <c r="N27" s="20">
        <f>('TE BE'!$N$27+'TE BF'!$N$27+'TE CVA'!$N$27)*(1 - CUSTOS!$M$39)</f>
        <v>0</v>
      </c>
      <c r="O27" s="20">
        <f>('TE BE'!$O$27+'TE BF'!$O$27+'TE CVA'!$O$27)*(1 - CUSTOS!$M$39)</f>
        <v>0</v>
      </c>
      <c r="P27" s="20">
        <f>('TE BE'!$P$27+'TE BF'!$P$27+'TE CVA'!$P$27)*(1 - CUSTOS!$M$39)</f>
        <v>0</v>
      </c>
      <c r="Q27" s="20">
        <f>('TE BE'!$R$27+'TE BF'!$R$27+'TE CVA'!$R$27)*(1 - CUSTOS!$M$39)</f>
        <v>144.71996911415522</v>
      </c>
      <c r="R27" s="20">
        <f>('TE BE'!$T$27+'TE BF'!$T$27+'TE CVA'!$T$27)*(1 - CUSTOS!$M$39)</f>
        <v>0</v>
      </c>
      <c r="S27" s="20">
        <f>('TE BE'!$U$27+'TE BF'!$U$27+'TE CVA'!$U$27)*(1 - CUSTOS!$M$39)</f>
        <v>0</v>
      </c>
      <c r="T27" s="20">
        <f>('TE BE'!$V$27+'TE BF'!$V$27+'TE CVA'!$V$27)*(1 - CUSTOS!$M$39)</f>
        <v>0</v>
      </c>
      <c r="U27" s="20">
        <f>('TE BE'!$X$27+'TE BF'!$X$27+'TE CVA'!$X$27)*(1 - CUSTOS!$M$39)</f>
        <v>0</v>
      </c>
      <c r="V27" s="20">
        <f>('TE BE'!$Z$27+'TE BF'!$Z$27+'TE CVA'!$Z$27)*(1 - CUSTOS!$M$39)</f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145.38135160307701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</row>
    <row r="28" spans="1:34" ht="11.25" customHeight="1" x14ac:dyDescent="0.25">
      <c r="A28" s="97"/>
      <c r="B28" s="97" t="s">
        <v>69</v>
      </c>
      <c r="C28" s="97" t="s">
        <v>41</v>
      </c>
      <c r="D28" s="97" t="s">
        <v>89</v>
      </c>
      <c r="E28" s="97" t="s">
        <v>25</v>
      </c>
      <c r="F28" s="97" t="s">
        <v>25</v>
      </c>
      <c r="G28" s="23" t="s">
        <v>71</v>
      </c>
      <c r="H28" s="23" t="s">
        <v>70</v>
      </c>
      <c r="I28" s="23">
        <f>'MERCADO TE'!$U$25</f>
        <v>0</v>
      </c>
      <c r="J28" s="15"/>
      <c r="L28" s="20">
        <f>('TE BE'!$L$28+'TE BF'!$L$28+'TE CVA'!$L$28)*(1 - CUSTOS!$M$40)</f>
        <v>0</v>
      </c>
      <c r="M28" s="20">
        <f>('TE BE'!$M$28+'TE BF'!$M$28+'TE CVA'!$M$28)*(1 - CUSTOS!$M$40)</f>
        <v>0</v>
      </c>
      <c r="N28" s="20">
        <f>('TE BE'!$N$28+'TE BF'!$N$28+'TE CVA'!$N$28)*(1 - CUSTOS!$M$40)</f>
        <v>0</v>
      </c>
      <c r="O28" s="20">
        <f>('TE BE'!$O$28+'TE BF'!$O$28+'TE CVA'!$O$28)*(1 - CUSTOS!$M$40)</f>
        <v>0</v>
      </c>
      <c r="P28" s="20">
        <f>('TE BE'!$P$28+'TE BF'!$P$28+'TE CVA'!$P$28)*(1 - CUSTOS!$M$40)</f>
        <v>0</v>
      </c>
      <c r="Q28" s="20">
        <f>('TE BE'!$R$28+'TE BF'!$R$28+'TE CVA'!$R$28)*(1 - CUSTOS!$M$40)</f>
        <v>141.64082083513065</v>
      </c>
      <c r="R28" s="20">
        <f>('TE BE'!$T$28+'TE BF'!$T$28+'TE CVA'!$T$28)*(1 - CUSTOS!$M$40)</f>
        <v>0</v>
      </c>
      <c r="S28" s="20">
        <f>('TE BE'!$U$28+'TE BF'!$U$28+'TE CVA'!$U$28)*(1 - CUSTOS!$M$40)</f>
        <v>0</v>
      </c>
      <c r="T28" s="20">
        <f>('TE BE'!$V$28+'TE BF'!$V$28+'TE CVA'!$V$28)*(1 - CUSTOS!$M$40)</f>
        <v>0</v>
      </c>
      <c r="U28" s="20">
        <f>('TE BE'!$X$28+'TE BF'!$X$28+'TE CVA'!$X$28)*(1 - CUSTOS!$M$40)</f>
        <v>0</v>
      </c>
      <c r="V28" s="20">
        <f>('TE BE'!$Z$28+'TE BF'!$Z$28+'TE CVA'!$Z$28)*(1 - CUSTOS!$M$40)</f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138.77310834839199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</row>
    <row r="29" spans="1:34" ht="11.25" customHeight="1" x14ac:dyDescent="0.25">
      <c r="A29" s="97"/>
      <c r="B29" s="97"/>
      <c r="C29" s="97"/>
      <c r="D29" s="97"/>
      <c r="E29" s="97"/>
      <c r="F29" s="97"/>
      <c r="G29" s="23" t="s">
        <v>83</v>
      </c>
      <c r="H29" s="23" t="s">
        <v>70</v>
      </c>
      <c r="I29" s="23">
        <f>'MERCADO TE'!$U$26</f>
        <v>0</v>
      </c>
      <c r="J29" s="15"/>
      <c r="L29" s="20">
        <f>('TE BE'!$L$29+'TE BF'!$L$29+'TE CVA'!$L$29)*(1 - CUSTOS!$M$40)</f>
        <v>0</v>
      </c>
      <c r="M29" s="20">
        <f>('TE BE'!$M$29+'TE BF'!$M$29+'TE CVA'!$M$29)*(1 - CUSTOS!$M$40)</f>
        <v>0</v>
      </c>
      <c r="N29" s="20">
        <f>('TE BE'!$N$29+'TE BF'!$N$29+'TE CVA'!$N$29)*(1 - CUSTOS!$M$40)</f>
        <v>0</v>
      </c>
      <c r="O29" s="20">
        <f>('TE BE'!$O$29+'TE BF'!$O$29+'TE CVA'!$O$29)*(1 - CUSTOS!$M$40)</f>
        <v>0</v>
      </c>
      <c r="P29" s="20">
        <f>('TE BE'!$P$29+'TE BF'!$P$29+'TE CVA'!$P$29)*(1 - CUSTOS!$M$40)</f>
        <v>0</v>
      </c>
      <c r="Q29" s="20">
        <f>('TE BE'!$R$29+'TE BF'!$R$29+'TE CVA'!$R$29)*(1 - CUSTOS!$M$40)</f>
        <v>141.64082083513065</v>
      </c>
      <c r="R29" s="20">
        <f>('TE BE'!$T$29+'TE BF'!$T$29+'TE CVA'!$T$29)*(1 - CUSTOS!$M$40)</f>
        <v>0</v>
      </c>
      <c r="S29" s="20">
        <f>('TE BE'!$U$29+'TE BF'!$U$29+'TE CVA'!$U$29)*(1 - CUSTOS!$M$40)</f>
        <v>0</v>
      </c>
      <c r="T29" s="20">
        <f>('TE BE'!$V$29+'TE BF'!$V$29+'TE CVA'!$V$29)*(1 - CUSTOS!$M$40)</f>
        <v>0</v>
      </c>
      <c r="U29" s="20">
        <f>('TE BE'!$X$29+'TE BF'!$X$29+'TE CVA'!$X$29)*(1 - CUSTOS!$M$40)</f>
        <v>0</v>
      </c>
      <c r="V29" s="20">
        <f>('TE BE'!$Z$29+'TE BF'!$Z$29+'TE CVA'!$Z$29)*(1 - CUSTOS!$M$40)</f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138.77310834839199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</row>
    <row r="30" spans="1:34" ht="11.25" customHeight="1" x14ac:dyDescent="0.25">
      <c r="A30" s="97"/>
      <c r="B30" s="97"/>
      <c r="C30" s="97"/>
      <c r="D30" s="97"/>
      <c r="E30" s="97"/>
      <c r="F30" s="97"/>
      <c r="G30" s="23" t="s">
        <v>72</v>
      </c>
      <c r="H30" s="23" t="s">
        <v>70</v>
      </c>
      <c r="I30" s="23">
        <f>'MERCADO TE'!$U$27</f>
        <v>0</v>
      </c>
      <c r="J30" s="15"/>
      <c r="L30" s="20">
        <f>('TE BE'!$L$30+'TE BF'!$L$30+'TE CVA'!$L$30)*(1 - CUSTOS!$M$40)</f>
        <v>0</v>
      </c>
      <c r="M30" s="20">
        <f>('TE BE'!$M$30+'TE BF'!$M$30+'TE CVA'!$M$30)*(1 - CUSTOS!$M$40)</f>
        <v>0</v>
      </c>
      <c r="N30" s="20">
        <f>('TE BE'!$N$30+'TE BF'!$N$30+'TE CVA'!$N$30)*(1 - CUSTOS!$M$40)</f>
        <v>0</v>
      </c>
      <c r="O30" s="20">
        <f>('TE BE'!$O$30+'TE BF'!$O$30+'TE CVA'!$O$30)*(1 - CUSTOS!$M$40)</f>
        <v>0</v>
      </c>
      <c r="P30" s="20">
        <f>('TE BE'!$P$30+'TE BF'!$P$30+'TE CVA'!$P$30)*(1 - CUSTOS!$M$40)</f>
        <v>0</v>
      </c>
      <c r="Q30" s="20">
        <f>('TE BE'!$R$30+'TE BF'!$R$30+'TE CVA'!$R$30)*(1 - CUSTOS!$M$40)</f>
        <v>141.64082083513065</v>
      </c>
      <c r="R30" s="20">
        <f>('TE BE'!$T$30+'TE BF'!$T$30+'TE CVA'!$T$30)*(1 - CUSTOS!$M$40)</f>
        <v>0</v>
      </c>
      <c r="S30" s="20">
        <f>('TE BE'!$U$30+'TE BF'!$U$30+'TE CVA'!$U$30)*(1 - CUSTOS!$M$40)</f>
        <v>0</v>
      </c>
      <c r="T30" s="20">
        <f>('TE BE'!$V$30+'TE BF'!$V$30+'TE CVA'!$V$30)*(1 - CUSTOS!$M$40)</f>
        <v>0</v>
      </c>
      <c r="U30" s="20">
        <f>('TE BE'!$X$30+'TE BF'!$X$30+'TE CVA'!$X$30)*(1 - CUSTOS!$M$40)</f>
        <v>0</v>
      </c>
      <c r="V30" s="20">
        <f>('TE BE'!$Z$30+'TE BF'!$Z$30+'TE CVA'!$Z$30)*(1 - CUSTOS!$M$40)</f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138.77310834839199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</row>
    <row r="31" spans="1:34" ht="11.25" customHeight="1" x14ac:dyDescent="0.25">
      <c r="A31" s="97"/>
      <c r="B31" s="22" t="s">
        <v>84</v>
      </c>
      <c r="C31" s="22" t="s">
        <v>41</v>
      </c>
      <c r="D31" s="22" t="s">
        <v>89</v>
      </c>
      <c r="E31" s="22" t="s">
        <v>25</v>
      </c>
      <c r="F31" s="22" t="s">
        <v>25</v>
      </c>
      <c r="G31" s="23" t="s">
        <v>77</v>
      </c>
      <c r="H31" s="23" t="s">
        <v>70</v>
      </c>
      <c r="I31" s="23">
        <f>'MERCADO TE'!$U$28</f>
        <v>0</v>
      </c>
      <c r="J31" s="15"/>
      <c r="L31" s="20">
        <f>('TE BE'!$L$31+'TE BF'!$L$31+'TE CVA'!$L$31)*(1 - CUSTOS!$M$40)</f>
        <v>0</v>
      </c>
      <c r="M31" s="20">
        <f>('TE BE'!$M$31+'TE BF'!$M$31+'TE CVA'!$M$31)*(1 - CUSTOS!$M$40)</f>
        <v>0</v>
      </c>
      <c r="N31" s="20">
        <f>('TE BE'!$N$31+'TE BF'!$N$31+'TE CVA'!$N$31)*(1 - CUSTOS!$M$40)</f>
        <v>0</v>
      </c>
      <c r="O31" s="20">
        <f>('TE BE'!$O$31+'TE BF'!$O$31+'TE CVA'!$O$31)*(1 - CUSTOS!$M$40)</f>
        <v>0</v>
      </c>
      <c r="P31" s="20">
        <f>('TE BE'!$P$31+'TE BF'!$P$31+'TE CVA'!$P$31)*(1 - CUSTOS!$M$40)</f>
        <v>0</v>
      </c>
      <c r="Q31" s="20">
        <f>('TE BE'!$R$31+'TE BF'!$R$31+'TE CVA'!$R$31)*(1 - CUSTOS!$M$40)</f>
        <v>141.64082083513065</v>
      </c>
      <c r="R31" s="20">
        <f>('TE BE'!$T$31+'TE BF'!$T$31+'TE CVA'!$T$31)*(1 - CUSTOS!$M$40)</f>
        <v>0</v>
      </c>
      <c r="S31" s="20">
        <f>('TE BE'!$U$31+'TE BF'!$U$31+'TE CVA'!$U$31)*(1 - CUSTOS!$M$40)</f>
        <v>0</v>
      </c>
      <c r="T31" s="20">
        <f>('TE BE'!$V$31+'TE BF'!$V$31+'TE CVA'!$V$31)*(1 - CUSTOS!$M$40)</f>
        <v>0</v>
      </c>
      <c r="U31" s="20">
        <f>('TE BE'!$X$31+'TE BF'!$X$31+'TE CVA'!$X$31)*(1 - CUSTOS!$M$40)</f>
        <v>0</v>
      </c>
      <c r="V31" s="20">
        <f>('TE BE'!$Z$31+'TE BF'!$Z$31+'TE CVA'!$Z$31)*(1 - CUSTOS!$M$40)</f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138.77310834839199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</row>
    <row r="32" spans="1:34" ht="11.25" customHeight="1" x14ac:dyDescent="0.25">
      <c r="A32" s="97"/>
      <c r="B32" s="97" t="s">
        <v>86</v>
      </c>
      <c r="C32" s="97" t="s">
        <v>41</v>
      </c>
      <c r="D32" s="22" t="s">
        <v>25</v>
      </c>
      <c r="E32" s="22" t="s">
        <v>25</v>
      </c>
      <c r="F32" s="22" t="s">
        <v>25</v>
      </c>
      <c r="G32" s="23" t="s">
        <v>77</v>
      </c>
      <c r="H32" s="23" t="s">
        <v>70</v>
      </c>
      <c r="I32" s="23">
        <f>'MERCADO TE'!$U$29</f>
        <v>0</v>
      </c>
      <c r="J32" s="15"/>
      <c r="L32" s="20">
        <f>('TE BE'!$L$32+'TE BF'!$L$32+'TE CVA'!$L$32)*(1 - CUSTOS!$M$38)</f>
        <v>0</v>
      </c>
      <c r="M32" s="20">
        <f>('TE BE'!$M$32+'TE BF'!$M$32+'TE CVA'!$M$32)*(1 - CUSTOS!$M$38)</f>
        <v>0</v>
      </c>
      <c r="N32" s="20">
        <f>('TE BE'!$N$32+'TE BF'!$N$32+'TE CVA'!$N$32)*(1 - CUSTOS!$M$38)</f>
        <v>0</v>
      </c>
      <c r="O32" s="20">
        <f>('TE BE'!$O$32+'TE BF'!$O$32+'TE CVA'!$O$32)*(1 - CUSTOS!$M$38)</f>
        <v>0</v>
      </c>
      <c r="P32" s="20">
        <f>('TE BE'!$P$32+'TE BF'!$P$32+'TE CVA'!$P$32)*(1 - CUSTOS!$M$38)</f>
        <v>0</v>
      </c>
      <c r="Q32" s="20">
        <f>('TE BE'!$R$32+'TE BF'!$R$32+'TE CVA'!$R$32)*(1 - CUSTOS!$M$38)</f>
        <v>144.71996911415522</v>
      </c>
      <c r="R32" s="20">
        <f>('TE BE'!$T$32+'TE BF'!$T$32+'TE CVA'!$T$32)*(1 - CUSTOS!$M$38)</f>
        <v>0</v>
      </c>
      <c r="S32" s="20">
        <f>('TE BE'!$U$32+'TE BF'!$U$32+'TE CVA'!$U$32)*(1 - CUSTOS!$M$38)</f>
        <v>0</v>
      </c>
      <c r="T32" s="20">
        <f>('TE BE'!$V$32+'TE BF'!$V$32+'TE CVA'!$V$32)*(1 - CUSTOS!$M$38)</f>
        <v>0</v>
      </c>
      <c r="U32" s="20">
        <f>('TE BE'!$X$32+'TE BF'!$X$32+'TE CVA'!$X$32)*(1 - CUSTOS!$M$38)</f>
        <v>0</v>
      </c>
      <c r="V32" s="20">
        <f>('TE BE'!$Z$32+'TE BF'!$Z$32+'TE CVA'!$Z$32)*(1 - CUSTOS!$M$38)</f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145.38135160307701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</row>
    <row r="33" spans="1:34" ht="11.25" customHeight="1" x14ac:dyDescent="0.25">
      <c r="A33" s="97"/>
      <c r="B33" s="97"/>
      <c r="C33" s="97"/>
      <c r="D33" s="22" t="s">
        <v>88</v>
      </c>
      <c r="E33" s="22" t="s">
        <v>25</v>
      </c>
      <c r="F33" s="22" t="s">
        <v>25</v>
      </c>
      <c r="G33" s="23" t="s">
        <v>77</v>
      </c>
      <c r="H33" s="23" t="s">
        <v>70</v>
      </c>
      <c r="I33" s="23">
        <f>'MERCADO TE'!$U$30</f>
        <v>0</v>
      </c>
      <c r="J33" s="15"/>
      <c r="L33" s="20">
        <f>('TE BE'!$L$33+'TE BF'!$L$33+'TE CVA'!$L$33)*(1 - CUSTOS!$M$39)</f>
        <v>0</v>
      </c>
      <c r="M33" s="20">
        <f>('TE BE'!$M$33+'TE BF'!$M$33+'TE CVA'!$M$33)*(1 - CUSTOS!$M$39)</f>
        <v>0</v>
      </c>
      <c r="N33" s="20">
        <f>('TE BE'!$N$33+'TE BF'!$N$33+'TE CVA'!$N$33)*(1 - CUSTOS!$M$39)</f>
        <v>0</v>
      </c>
      <c r="O33" s="20">
        <f>('TE BE'!$O$33+'TE BF'!$O$33+'TE CVA'!$O$33)*(1 - CUSTOS!$M$39)</f>
        <v>0</v>
      </c>
      <c r="P33" s="20">
        <f>('TE BE'!$P$33+'TE BF'!$P$33+'TE CVA'!$P$33)*(1 - CUSTOS!$M$39)</f>
        <v>0</v>
      </c>
      <c r="Q33" s="20">
        <f>('TE BE'!$R$33+'TE BF'!$R$33+'TE CVA'!$R$33)*(1 - CUSTOS!$M$39)</f>
        <v>144.71996911415522</v>
      </c>
      <c r="R33" s="20">
        <f>('TE BE'!$T$33+'TE BF'!$T$33+'TE CVA'!$T$33)*(1 - CUSTOS!$M$39)</f>
        <v>0</v>
      </c>
      <c r="S33" s="20">
        <f>('TE BE'!$U$33+'TE BF'!$U$33+'TE CVA'!$U$33)*(1 - CUSTOS!$M$39)</f>
        <v>0</v>
      </c>
      <c r="T33" s="20">
        <f>('TE BE'!$V$33+'TE BF'!$V$33+'TE CVA'!$V$33)*(1 - CUSTOS!$M$39)</f>
        <v>0</v>
      </c>
      <c r="U33" s="20">
        <f>('TE BE'!$X$33+'TE BF'!$X$33+'TE CVA'!$X$33)*(1 - CUSTOS!$M$39)</f>
        <v>0</v>
      </c>
      <c r="V33" s="20">
        <f>('TE BE'!$Z$33+'TE BF'!$Z$33+'TE CVA'!$Z$33)*(1 - CUSTOS!$M$39)</f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145.38135160307701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</row>
    <row r="34" spans="1:34" ht="11.25" customHeight="1" x14ac:dyDescent="0.25">
      <c r="A34" s="97"/>
      <c r="B34" s="97"/>
      <c r="C34" s="97"/>
      <c r="D34" s="22" t="s">
        <v>89</v>
      </c>
      <c r="E34" s="22" t="s">
        <v>25</v>
      </c>
      <c r="F34" s="22" t="s">
        <v>25</v>
      </c>
      <c r="G34" s="23" t="s">
        <v>77</v>
      </c>
      <c r="H34" s="23" t="s">
        <v>70</v>
      </c>
      <c r="I34" s="23">
        <f>'MERCADO TE'!$U$31</f>
        <v>0</v>
      </c>
      <c r="J34" s="15"/>
      <c r="L34" s="20">
        <f>('TE BE'!$L$34+'TE BF'!$L$34+'TE CVA'!$L$34)*(1 - CUSTOS!$M$40)</f>
        <v>0</v>
      </c>
      <c r="M34" s="20">
        <f>('TE BE'!$M$34+'TE BF'!$M$34+'TE CVA'!$M$34)*(1 - CUSTOS!$M$40)</f>
        <v>0</v>
      </c>
      <c r="N34" s="20">
        <f>('TE BE'!$N$34+'TE BF'!$N$34+'TE CVA'!$N$34)*(1 - CUSTOS!$M$40)</f>
        <v>0</v>
      </c>
      <c r="O34" s="20">
        <f>('TE BE'!$O$34+'TE BF'!$O$34+'TE CVA'!$O$34)*(1 - CUSTOS!$M$40)</f>
        <v>0</v>
      </c>
      <c r="P34" s="20">
        <f>('TE BE'!$P$34+'TE BF'!$P$34+'TE CVA'!$P$34)*(1 - CUSTOS!$M$40)</f>
        <v>0</v>
      </c>
      <c r="Q34" s="20">
        <f>('TE BE'!$R$34+'TE BF'!$R$34+'TE CVA'!$R$34)*(1 - CUSTOS!$M$40)</f>
        <v>141.64082083513065</v>
      </c>
      <c r="R34" s="20">
        <f>('TE BE'!$T$34+'TE BF'!$T$34+'TE CVA'!$T$34)*(1 - CUSTOS!$M$40)</f>
        <v>0</v>
      </c>
      <c r="S34" s="20">
        <f>('TE BE'!$U$34+'TE BF'!$U$34+'TE CVA'!$U$34)*(1 - CUSTOS!$M$40)</f>
        <v>0</v>
      </c>
      <c r="T34" s="20">
        <f>('TE BE'!$V$34+'TE BF'!$V$34+'TE CVA'!$V$34)*(1 - CUSTOS!$M$40)</f>
        <v>0</v>
      </c>
      <c r="U34" s="20">
        <f>('TE BE'!$X$34+'TE BF'!$X$34+'TE CVA'!$X$34)*(1 - CUSTOS!$M$40)</f>
        <v>0</v>
      </c>
      <c r="V34" s="20">
        <f>('TE BE'!$Z$34+'TE BF'!$Z$34+'TE CVA'!$Z$34)*(1 - CUSTOS!$M$40)</f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138.77310834839199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</row>
    <row r="35" spans="1:34" ht="11.25" customHeight="1" x14ac:dyDescent="0.25">
      <c r="A35" s="97" t="s">
        <v>33</v>
      </c>
      <c r="B35" s="97" t="s">
        <v>69</v>
      </c>
      <c r="C35" s="97" t="s">
        <v>25</v>
      </c>
      <c r="D35" s="97" t="s">
        <v>25</v>
      </c>
      <c r="E35" s="97" t="s">
        <v>25</v>
      </c>
      <c r="F35" s="97" t="s">
        <v>25</v>
      </c>
      <c r="G35" s="23" t="s">
        <v>71</v>
      </c>
      <c r="H35" s="23" t="s">
        <v>70</v>
      </c>
      <c r="I35" s="23">
        <f>'MERCADO TE'!$U$32</f>
        <v>0</v>
      </c>
      <c r="J35" s="15"/>
      <c r="L35" s="20">
        <f>('TE BE'!$L$35+'TE BF'!$L$35+'TE CVA'!$L$35)*1</f>
        <v>0</v>
      </c>
      <c r="M35" s="20">
        <f>('TE BE'!$M$35+'TE BF'!$M$35+'TE CVA'!$M$35)*1</f>
        <v>0</v>
      </c>
      <c r="N35" s="20">
        <f>('TE BE'!$N$35+'TE BF'!$N$35+'TE CVA'!$N$35)*1</f>
        <v>0</v>
      </c>
      <c r="O35" s="20">
        <f>('TE BE'!$O$35+'TE BF'!$O$35+'TE CVA'!$O$35)*1</f>
        <v>0</v>
      </c>
      <c r="P35" s="20">
        <f>('TE BE'!$P$35+'TE BF'!$P$35+'TE CVA'!$P$35)*1</f>
        <v>0</v>
      </c>
      <c r="Q35" s="20">
        <f>('TE BE'!$R$35+'TE BF'!$R$35+'TE CVA'!$R$35)*1</f>
        <v>153.95741395122897</v>
      </c>
      <c r="R35" s="20">
        <f>('TE BE'!$T$35+'TE BF'!$T$35+'TE CVA'!$T$35)*1</f>
        <v>0</v>
      </c>
      <c r="S35" s="20">
        <f>('TE BE'!$U$35+'TE BF'!$U$35+'TE CVA'!$U$35)*1</f>
        <v>0</v>
      </c>
      <c r="T35" s="20">
        <f>('TE BE'!$V$35+'TE BF'!$V$35+'TE CVA'!$V$35)*1</f>
        <v>0</v>
      </c>
      <c r="U35" s="20">
        <f>('TE BE'!$X$35+'TE BF'!$X$35+'TE CVA'!$X$35)*1</f>
        <v>0</v>
      </c>
      <c r="V35" s="20">
        <f>('TE BE'!$Z$35+'TE BF'!$Z$35+'TE CVA'!$Z$35)*1</f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165.20608136713301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</row>
    <row r="36" spans="1:34" ht="11.25" customHeight="1" x14ac:dyDescent="0.25">
      <c r="A36" s="97"/>
      <c r="B36" s="97"/>
      <c r="C36" s="97"/>
      <c r="D36" s="97"/>
      <c r="E36" s="97"/>
      <c r="F36" s="97"/>
      <c r="G36" s="23" t="s">
        <v>83</v>
      </c>
      <c r="H36" s="23" t="s">
        <v>70</v>
      </c>
      <c r="I36" s="23">
        <f>'MERCADO TE'!$U$33</f>
        <v>0</v>
      </c>
      <c r="J36" s="15"/>
      <c r="L36" s="20">
        <f>('TE BE'!$L$36+'TE BF'!$L$36+'TE CVA'!$L$36)*1</f>
        <v>0</v>
      </c>
      <c r="M36" s="20">
        <f>('TE BE'!$M$36+'TE BF'!$M$36+'TE CVA'!$M$36)*1</f>
        <v>0</v>
      </c>
      <c r="N36" s="20">
        <f>('TE BE'!$N$36+'TE BF'!$N$36+'TE CVA'!$N$36)*1</f>
        <v>0</v>
      </c>
      <c r="O36" s="20">
        <f>('TE BE'!$O$36+'TE BF'!$O$36+'TE CVA'!$O$36)*1</f>
        <v>0</v>
      </c>
      <c r="P36" s="20">
        <f>('TE BE'!$P$36+'TE BF'!$P$36+'TE CVA'!$P$36)*1</f>
        <v>0</v>
      </c>
      <c r="Q36" s="20">
        <f>('TE BE'!$R$36+'TE BF'!$R$36+'TE CVA'!$R$36)*1</f>
        <v>153.95741395122897</v>
      </c>
      <c r="R36" s="20">
        <f>('TE BE'!$T$36+'TE BF'!$T$36+'TE CVA'!$T$36)*1</f>
        <v>0</v>
      </c>
      <c r="S36" s="20">
        <f>('TE BE'!$U$36+'TE BF'!$U$36+'TE CVA'!$U$36)*1</f>
        <v>0</v>
      </c>
      <c r="T36" s="20">
        <f>('TE BE'!$V$36+'TE BF'!$V$36+'TE CVA'!$V$36)*1</f>
        <v>0</v>
      </c>
      <c r="U36" s="20">
        <f>('TE BE'!$X$36+'TE BF'!$X$36+'TE CVA'!$X$36)*1</f>
        <v>0</v>
      </c>
      <c r="V36" s="20">
        <f>('TE BE'!$Z$36+'TE BF'!$Z$36+'TE CVA'!$Z$36)*1</f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165.20608136713301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</row>
    <row r="37" spans="1:34" ht="11.25" customHeight="1" x14ac:dyDescent="0.25">
      <c r="A37" s="97"/>
      <c r="B37" s="97"/>
      <c r="C37" s="97"/>
      <c r="D37" s="97"/>
      <c r="E37" s="97"/>
      <c r="F37" s="97"/>
      <c r="G37" s="23" t="s">
        <v>72</v>
      </c>
      <c r="H37" s="23" t="s">
        <v>70</v>
      </c>
      <c r="I37" s="23">
        <f>'MERCADO TE'!$U$34</f>
        <v>0</v>
      </c>
      <c r="J37" s="15"/>
      <c r="L37" s="20">
        <f>('TE BE'!$L$37+'TE BF'!$L$37+'TE CVA'!$L$37)*1</f>
        <v>0</v>
      </c>
      <c r="M37" s="20">
        <f>('TE BE'!$M$37+'TE BF'!$M$37+'TE CVA'!$M$37)*1</f>
        <v>0</v>
      </c>
      <c r="N37" s="20">
        <f>('TE BE'!$N$37+'TE BF'!$N$37+'TE CVA'!$N$37)*1</f>
        <v>0</v>
      </c>
      <c r="O37" s="20">
        <f>('TE BE'!$O$37+'TE BF'!$O$37+'TE CVA'!$O$37)*1</f>
        <v>0</v>
      </c>
      <c r="P37" s="20">
        <f>('TE BE'!$P$37+'TE BF'!$P$37+'TE CVA'!$P$37)*1</f>
        <v>0</v>
      </c>
      <c r="Q37" s="20">
        <f>('TE BE'!$R$37+'TE BF'!$R$37+'TE CVA'!$R$37)*1</f>
        <v>153.95741395122897</v>
      </c>
      <c r="R37" s="20">
        <f>('TE BE'!$T$37+'TE BF'!$T$37+'TE CVA'!$T$37)*1</f>
        <v>0</v>
      </c>
      <c r="S37" s="20">
        <f>('TE BE'!$U$37+'TE BF'!$U$37+'TE CVA'!$U$37)*1</f>
        <v>0</v>
      </c>
      <c r="T37" s="20">
        <f>('TE BE'!$V$37+'TE BF'!$V$37+'TE CVA'!$V$37)*1</f>
        <v>0</v>
      </c>
      <c r="U37" s="20">
        <f>('TE BE'!$X$37+'TE BF'!$X$37+'TE CVA'!$X$37)*1</f>
        <v>0</v>
      </c>
      <c r="V37" s="20">
        <f>('TE BE'!$Z$37+'TE BF'!$Z$37+'TE CVA'!$Z$37)*1</f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165.20608136713301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</row>
    <row r="38" spans="1:34" ht="11.25" customHeight="1" x14ac:dyDescent="0.25">
      <c r="A38" s="97"/>
      <c r="B38" s="22" t="s">
        <v>84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77</v>
      </c>
      <c r="H38" s="23" t="s">
        <v>70</v>
      </c>
      <c r="I38" s="23">
        <f>'MERCADO TE'!$U$35</f>
        <v>4711.0929999999998</v>
      </c>
      <c r="J38" s="15"/>
      <c r="L38" s="20">
        <f>('TE BE'!$L$38+'TE BF'!$L$38+'TE CVA'!$L$38)*1</f>
        <v>0</v>
      </c>
      <c r="M38" s="20">
        <f>('TE BE'!$M$38+'TE BF'!$M$38+'TE CVA'!$M$38)*1</f>
        <v>0</v>
      </c>
      <c r="N38" s="20">
        <f>('TE BE'!$N$38+'TE BF'!$N$38+'TE CVA'!$N$38)*1</f>
        <v>0</v>
      </c>
      <c r="O38" s="20">
        <f>('TE BE'!$O$38+'TE BF'!$O$38+'TE CVA'!$O$38)*1</f>
        <v>0</v>
      </c>
      <c r="P38" s="20">
        <f>('TE BE'!$P$38+'TE BF'!$P$38+'TE CVA'!$P$38)*1</f>
        <v>0</v>
      </c>
      <c r="Q38" s="20">
        <f>('TE BE'!$R$38+'TE BF'!$R$38+'TE CVA'!$R$38)*1</f>
        <v>153.95741395122897</v>
      </c>
      <c r="R38" s="20">
        <f>('TE BE'!$T$38+'TE BF'!$T$38+'TE CVA'!$T$38)*1</f>
        <v>0</v>
      </c>
      <c r="S38" s="20">
        <f>('TE BE'!$U$38+'TE BF'!$U$38+'TE CVA'!$U$38)*1</f>
        <v>0</v>
      </c>
      <c r="T38" s="20">
        <f>('TE BE'!$V$38+'TE BF'!$V$38+'TE CVA'!$V$38)*1</f>
        <v>0</v>
      </c>
      <c r="U38" s="20">
        <f>('TE BE'!$X$38+'TE BF'!$X$38+'TE CVA'!$X$38)*1</f>
        <v>0</v>
      </c>
      <c r="V38" s="20">
        <f>('TE BE'!$Z$38+'TE BF'!$Z$38+'TE CVA'!$Z$38)*1</f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165.20608136713301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</row>
    <row r="39" spans="1:34" ht="11.25" customHeight="1" x14ac:dyDescent="0.25">
      <c r="A39" s="97"/>
      <c r="B39" s="22" t="s">
        <v>86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77</v>
      </c>
      <c r="H39" s="23" t="s">
        <v>70</v>
      </c>
      <c r="I39" s="23">
        <f>'MERCADO TE'!$U$36</f>
        <v>0</v>
      </c>
      <c r="J39" s="15"/>
      <c r="L39" s="20">
        <f>('TE BE'!$L$39+'TE BF'!$L$39+'TE CVA'!$L$39)*1</f>
        <v>0</v>
      </c>
      <c r="M39" s="20">
        <f>('TE BE'!$M$39+'TE BF'!$M$39+'TE CVA'!$M$39)*1</f>
        <v>0</v>
      </c>
      <c r="N39" s="20">
        <f>('TE BE'!$N$39+'TE BF'!$N$39+'TE CVA'!$N$39)*1</f>
        <v>0</v>
      </c>
      <c r="O39" s="20">
        <f>('TE BE'!$O$39+'TE BF'!$O$39+'TE CVA'!$O$39)*1</f>
        <v>0</v>
      </c>
      <c r="P39" s="20">
        <f>('TE BE'!$P$39+'TE BF'!$P$39+'TE CVA'!$P$39)*1</f>
        <v>0</v>
      </c>
      <c r="Q39" s="20">
        <f>('TE BE'!$R$39+'TE BF'!$R$39+'TE CVA'!$R$39)*1</f>
        <v>153.95741395122897</v>
      </c>
      <c r="R39" s="20">
        <f>('TE BE'!$T$39+'TE BF'!$T$39+'TE CVA'!$T$39)*1</f>
        <v>0</v>
      </c>
      <c r="S39" s="20">
        <f>('TE BE'!$U$39+'TE BF'!$U$39+'TE CVA'!$U$39)*1</f>
        <v>0</v>
      </c>
      <c r="T39" s="20">
        <f>('TE BE'!$V$39+'TE BF'!$V$39+'TE CVA'!$V$39)*1</f>
        <v>0</v>
      </c>
      <c r="U39" s="20">
        <f>('TE BE'!$X$39+'TE BF'!$X$39+'TE CVA'!$X$39)*1</f>
        <v>0</v>
      </c>
      <c r="V39" s="20">
        <f>('TE BE'!$Z$39+'TE BF'!$Z$39+'TE CVA'!$Z$39)*1</f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165.20608136713301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</row>
    <row r="40" spans="1:34" ht="11.25" customHeight="1" x14ac:dyDescent="0.25">
      <c r="A40" s="97" t="s">
        <v>43</v>
      </c>
      <c r="B40" s="97" t="s">
        <v>84</v>
      </c>
      <c r="C40" s="97" t="s">
        <v>44</v>
      </c>
      <c r="D40" s="22" t="s">
        <v>45</v>
      </c>
      <c r="E40" s="22" t="s">
        <v>25</v>
      </c>
      <c r="F40" s="22" t="s">
        <v>25</v>
      </c>
      <c r="G40" s="23" t="s">
        <v>77</v>
      </c>
      <c r="H40" s="23" t="s">
        <v>70</v>
      </c>
      <c r="I40" s="23">
        <f>'MERCADO TE'!$U$37</f>
        <v>1954.79</v>
      </c>
      <c r="J40" s="15"/>
      <c r="L40" s="20">
        <f>('TE BE'!$L$40+'TE BF'!$L$40+'TE CVA'!$L$40)*1</f>
        <v>0</v>
      </c>
      <c r="M40" s="20">
        <f>('TE BE'!$M$40+'TE BF'!$M$40+'TE CVA'!$M$40)*1</f>
        <v>0</v>
      </c>
      <c r="N40" s="20">
        <f>('TE BE'!$N$40+'TE BF'!$N$40+'TE CVA'!$N$40)*1</f>
        <v>0</v>
      </c>
      <c r="O40" s="20">
        <f>('TE BE'!$O$40+'TE BF'!$O$40+'TE CVA'!$O$40)*1</f>
        <v>0</v>
      </c>
      <c r="P40" s="20">
        <f>('TE BE'!$P$40+'TE BF'!$P$40+'TE CVA'!$P$40)*1</f>
        <v>0</v>
      </c>
      <c r="Q40" s="20">
        <f>('TE BE'!$R$40+'TE BF'!$R$40+'TE CVA'!$R$40)*1</f>
        <v>84.676577673175942</v>
      </c>
      <c r="R40" s="20">
        <f>('TE BE'!$T$40+'TE BF'!$T$40+'TE CVA'!$T$40)*1</f>
        <v>0</v>
      </c>
      <c r="S40" s="20">
        <f>('TE BE'!$U$40+'TE BF'!$U$40+'TE CVA'!$U$40)*1</f>
        <v>0</v>
      </c>
      <c r="T40" s="20">
        <f>('TE BE'!$V$40+'TE BF'!$V$40+'TE CVA'!$V$40)*1</f>
        <v>0</v>
      </c>
      <c r="U40" s="20">
        <f>('TE BE'!$X$40+'TE BF'!$X$40+'TE CVA'!$X$40)*1</f>
        <v>0</v>
      </c>
      <c r="V40" s="20">
        <f>('TE BE'!$Z$40+'TE BF'!$Z$40+'TE CVA'!$Z$40)*1</f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90.863344751923194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</row>
    <row r="41" spans="1:34" ht="11.25" customHeight="1" x14ac:dyDescent="0.25">
      <c r="A41" s="97"/>
      <c r="B41" s="97"/>
      <c r="C41" s="97"/>
      <c r="D41" s="23" t="s">
        <v>46</v>
      </c>
      <c r="E41" s="23" t="s">
        <v>25</v>
      </c>
      <c r="F41" s="23" t="s">
        <v>25</v>
      </c>
      <c r="G41" s="23" t="s">
        <v>77</v>
      </c>
      <c r="H41" s="23" t="s">
        <v>70</v>
      </c>
      <c r="I41" s="23">
        <f>'MERCADO TE'!$U$38</f>
        <v>1.4530000000000001</v>
      </c>
      <c r="J41" s="15"/>
      <c r="L41" s="20">
        <f>('TE BE'!$L$41+'TE BF'!$L$41+'TE CVA'!$L$41)*1</f>
        <v>0</v>
      </c>
      <c r="M41" s="20">
        <f>('TE BE'!$M$41+'TE BF'!$M$41+'TE CVA'!$M$41)*1</f>
        <v>0</v>
      </c>
      <c r="N41" s="20">
        <f>('TE BE'!$N$41+'TE BF'!$N$41+'TE CVA'!$N$41)*1</f>
        <v>0</v>
      </c>
      <c r="O41" s="20">
        <f>('TE BE'!$O$41+'TE BF'!$O$41+'TE CVA'!$O$41)*1</f>
        <v>0</v>
      </c>
      <c r="P41" s="20">
        <f>('TE BE'!$P$41+'TE BF'!$P$41+'TE CVA'!$P$41)*1</f>
        <v>0</v>
      </c>
      <c r="Q41" s="20">
        <f>('TE BE'!$R$41+'TE BF'!$R$41+'TE CVA'!$R$41)*1</f>
        <v>92.374448370737383</v>
      </c>
      <c r="R41" s="20">
        <f>('TE BE'!$T$41+'TE BF'!$T$41+'TE CVA'!$T$41)*1</f>
        <v>0</v>
      </c>
      <c r="S41" s="20">
        <f>('TE BE'!$U$41+'TE BF'!$U$41+'TE CVA'!$U$41)*1</f>
        <v>0</v>
      </c>
      <c r="T41" s="20">
        <f>('TE BE'!$V$41+'TE BF'!$V$41+'TE CVA'!$V$41)*1</f>
        <v>0</v>
      </c>
      <c r="U41" s="20">
        <f>('TE BE'!$X$41+'TE BF'!$X$41+'TE CVA'!$X$41)*1</f>
        <v>0</v>
      </c>
      <c r="V41" s="20">
        <f>('TE BE'!$Z$41+'TE BF'!$Z$41+'TE CVA'!$Z$41)*1</f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99.123648820279797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</row>
    <row r="43" spans="1:34" ht="11.25" customHeight="1" x14ac:dyDescent="0.25">
      <c r="L43" s="99" t="s">
        <v>824</v>
      </c>
      <c r="M43" s="99"/>
      <c r="N43" s="99"/>
      <c r="O43" s="99"/>
      <c r="P43" s="99"/>
      <c r="Q43" s="99"/>
      <c r="R43" s="99"/>
      <c r="S43" s="99"/>
      <c r="T43" s="99"/>
      <c r="U43" s="99"/>
      <c r="V43" s="99"/>
      <c r="X43" s="99" t="s">
        <v>825</v>
      </c>
      <c r="Y43" s="99"/>
      <c r="Z43" s="99"/>
      <c r="AA43" s="99"/>
      <c r="AB43" s="99"/>
      <c r="AC43" s="99"/>
      <c r="AD43" s="99"/>
      <c r="AE43" s="99"/>
      <c r="AF43" s="99"/>
      <c r="AG43" s="99"/>
      <c r="AH43" s="99"/>
    </row>
    <row r="44" spans="1:34" ht="11.25" customHeight="1" x14ac:dyDescent="0.25">
      <c r="L44" s="99" t="s">
        <v>379</v>
      </c>
      <c r="M44" s="99"/>
      <c r="N44" s="99"/>
      <c r="O44" s="99"/>
      <c r="P44" s="99"/>
      <c r="Q44" s="99"/>
      <c r="R44" s="99"/>
      <c r="S44" s="99"/>
      <c r="T44" s="99"/>
      <c r="U44" s="99"/>
      <c r="V44" s="99"/>
      <c r="X44" s="99" t="s">
        <v>379</v>
      </c>
      <c r="Y44" s="99"/>
      <c r="Z44" s="99"/>
      <c r="AA44" s="99"/>
      <c r="AB44" s="99"/>
      <c r="AC44" s="99"/>
      <c r="AD44" s="99"/>
      <c r="AE44" s="99"/>
      <c r="AF44" s="99"/>
      <c r="AG44" s="99"/>
      <c r="AH44" s="99"/>
    </row>
    <row r="45" spans="1:34" ht="11.25" customHeight="1" x14ac:dyDescent="0.25">
      <c r="L45" s="99" t="s">
        <v>352</v>
      </c>
      <c r="M45" s="99"/>
      <c r="N45" s="99"/>
      <c r="O45" s="99"/>
      <c r="P45" s="99"/>
      <c r="Q45" s="24" t="s">
        <v>383</v>
      </c>
      <c r="R45" s="99" t="s">
        <v>361</v>
      </c>
      <c r="S45" s="99"/>
      <c r="T45" s="99"/>
      <c r="U45" s="24" t="s">
        <v>371</v>
      </c>
      <c r="V45" s="24" t="s">
        <v>374</v>
      </c>
      <c r="X45" s="99" t="s">
        <v>352</v>
      </c>
      <c r="Y45" s="99"/>
      <c r="Z45" s="99"/>
      <c r="AA45" s="99"/>
      <c r="AB45" s="99"/>
      <c r="AC45" s="24" t="s">
        <v>383</v>
      </c>
      <c r="AD45" s="99" t="s">
        <v>361</v>
      </c>
      <c r="AE45" s="99"/>
      <c r="AF45" s="99"/>
      <c r="AG45" s="24" t="s">
        <v>371</v>
      </c>
      <c r="AH45" s="24" t="s">
        <v>374</v>
      </c>
    </row>
    <row r="46" spans="1:34" ht="11.25" customHeight="1" x14ac:dyDescent="0.25">
      <c r="L46" s="24" t="s">
        <v>354</v>
      </c>
      <c r="M46" s="24" t="s">
        <v>380</v>
      </c>
      <c r="N46" s="24" t="s">
        <v>381</v>
      </c>
      <c r="O46" s="24" t="s">
        <v>440</v>
      </c>
      <c r="P46" s="24" t="s">
        <v>382</v>
      </c>
      <c r="Q46" s="24" t="s">
        <v>384</v>
      </c>
      <c r="R46" s="24" t="s">
        <v>385</v>
      </c>
      <c r="S46" s="24" t="s">
        <v>386</v>
      </c>
      <c r="T46" s="24" t="s">
        <v>387</v>
      </c>
      <c r="U46" s="24" t="s">
        <v>372</v>
      </c>
      <c r="V46" s="24" t="s">
        <v>388</v>
      </c>
      <c r="X46" s="24" t="s">
        <v>354</v>
      </c>
      <c r="Y46" s="24" t="s">
        <v>380</v>
      </c>
      <c r="Z46" s="24" t="s">
        <v>381</v>
      </c>
      <c r="AA46" s="24" t="s">
        <v>440</v>
      </c>
      <c r="AB46" s="24" t="s">
        <v>382</v>
      </c>
      <c r="AC46" s="24" t="s">
        <v>384</v>
      </c>
      <c r="AD46" s="24" t="s">
        <v>385</v>
      </c>
      <c r="AE46" s="24" t="s">
        <v>386</v>
      </c>
      <c r="AF46" s="24" t="s">
        <v>387</v>
      </c>
      <c r="AG46" s="24" t="s">
        <v>372</v>
      </c>
      <c r="AH46" s="24" t="s">
        <v>388</v>
      </c>
    </row>
    <row r="47" spans="1:34" ht="11.25" customHeight="1" x14ac:dyDescent="0.25">
      <c r="A47" s="9" t="s">
        <v>35</v>
      </c>
      <c r="B47" s="9" t="s">
        <v>826</v>
      </c>
      <c r="C47" s="9" t="s">
        <v>827</v>
      </c>
      <c r="D47" s="9" t="s">
        <v>828</v>
      </c>
      <c r="E47" s="9" t="s">
        <v>829</v>
      </c>
      <c r="F47" s="9" t="s">
        <v>830</v>
      </c>
      <c r="G47" s="9" t="s">
        <v>831</v>
      </c>
      <c r="L47" s="20">
        <f>$I$5*$L$5</f>
        <v>0</v>
      </c>
      <c r="M47" s="20">
        <f>$I$5*$M$5</f>
        <v>0</v>
      </c>
      <c r="N47" s="20">
        <f>$I$5*$N$5</f>
        <v>0</v>
      </c>
      <c r="O47" s="20">
        <f>$I$5*$O$5</f>
        <v>0</v>
      </c>
      <c r="P47" s="20">
        <f>$I$5*$P$5</f>
        <v>0</v>
      </c>
      <c r="Q47" s="20">
        <f>$I$5*$Q$5</f>
        <v>35764.153303456536</v>
      </c>
      <c r="R47" s="20">
        <f>$I$5*$R$5</f>
        <v>0</v>
      </c>
      <c r="S47" s="20">
        <f>$I$5*$S$5</f>
        <v>0</v>
      </c>
      <c r="T47" s="20">
        <f>$I$5*$T$5</f>
        <v>0</v>
      </c>
      <c r="U47" s="20">
        <f>$I$5*$U$5</f>
        <v>0</v>
      </c>
      <c r="V47" s="20">
        <f>$I$5*$V$5</f>
        <v>0</v>
      </c>
      <c r="X47" s="20">
        <f>$I$5*$X$5</f>
        <v>0</v>
      </c>
      <c r="Y47" s="20">
        <f>$I$5*$Y$5</f>
        <v>0</v>
      </c>
      <c r="Z47" s="20">
        <f>$I$5*$Z$5</f>
        <v>0</v>
      </c>
      <c r="AA47" s="20">
        <f>$I$5*$AA$5</f>
        <v>0</v>
      </c>
      <c r="AB47" s="20">
        <f>$I$5*$AB$5</f>
        <v>0</v>
      </c>
      <c r="AC47" s="20">
        <f>$I$5*$AC$5</f>
        <v>38377.20749550363</v>
      </c>
      <c r="AD47" s="20">
        <f>$I$5*$AD$5</f>
        <v>0</v>
      </c>
      <c r="AE47" s="20">
        <f>$I$5*$AE$5</f>
        <v>0</v>
      </c>
      <c r="AF47" s="20">
        <f>$I$5*$AF$5</f>
        <v>0</v>
      </c>
      <c r="AG47" s="20">
        <f>$I$5*$AG$5</f>
        <v>0</v>
      </c>
      <c r="AH47" s="20">
        <f>$I$5*$AH$5</f>
        <v>0</v>
      </c>
    </row>
    <row r="48" spans="1:34" ht="11.25" customHeight="1" x14ac:dyDescent="0.25">
      <c r="A48" s="9" t="s">
        <v>35</v>
      </c>
      <c r="B48" s="9" t="s">
        <v>826</v>
      </c>
      <c r="C48" s="9" t="s">
        <v>827</v>
      </c>
      <c r="D48" s="9" t="s">
        <v>828</v>
      </c>
      <c r="E48" s="9" t="s">
        <v>829</v>
      </c>
      <c r="F48" s="9" t="s">
        <v>830</v>
      </c>
      <c r="G48" s="9" t="s">
        <v>832</v>
      </c>
      <c r="L48" s="20">
        <f>$I$6*$L$6</f>
        <v>0</v>
      </c>
      <c r="M48" s="20">
        <f>$I$6*$M$6</f>
        <v>0</v>
      </c>
      <c r="N48" s="20">
        <f>$I$6*$N$6</f>
        <v>0</v>
      </c>
      <c r="O48" s="20">
        <f>$I$6*$O$6</f>
        <v>0</v>
      </c>
      <c r="P48" s="20">
        <f>$I$6*$P$6</f>
        <v>0</v>
      </c>
      <c r="Q48" s="20">
        <f>$I$6*$Q$6</f>
        <v>1167390.8668577888</v>
      </c>
      <c r="R48" s="20">
        <f>$I$6*$R$6</f>
        <v>0</v>
      </c>
      <c r="S48" s="20">
        <f>$I$6*$S$6</f>
        <v>0</v>
      </c>
      <c r="T48" s="20">
        <f>$I$6*$T$6</f>
        <v>0</v>
      </c>
      <c r="U48" s="20">
        <f>$I$6*$U$6</f>
        <v>0</v>
      </c>
      <c r="V48" s="20">
        <f>$I$6*$V$6</f>
        <v>0</v>
      </c>
      <c r="X48" s="20">
        <f>$I$6*$X$6</f>
        <v>0</v>
      </c>
      <c r="Y48" s="20">
        <f>$I$6*$Y$6</f>
        <v>0</v>
      </c>
      <c r="Z48" s="20">
        <f>$I$6*$Z$6</f>
        <v>0</v>
      </c>
      <c r="AA48" s="20">
        <f>$I$6*$AA$6</f>
        <v>0</v>
      </c>
      <c r="AB48" s="20">
        <f>$I$6*$AB$6</f>
        <v>0</v>
      </c>
      <c r="AC48" s="20">
        <f>$I$6*$AC$6</f>
        <v>1252684.5287129239</v>
      </c>
      <c r="AD48" s="20">
        <f>$I$6*$AD$6</f>
        <v>0</v>
      </c>
      <c r="AE48" s="20">
        <f>$I$6*$AE$6</f>
        <v>0</v>
      </c>
      <c r="AF48" s="20">
        <f>$I$6*$AF$6</f>
        <v>0</v>
      </c>
      <c r="AG48" s="20">
        <f>$I$6*$AG$6</f>
        <v>0</v>
      </c>
      <c r="AH48" s="20">
        <f>$I$6*$AH$6</f>
        <v>0</v>
      </c>
    </row>
    <row r="49" spans="1:34" ht="11.25" customHeight="1" x14ac:dyDescent="0.25">
      <c r="A49" s="9" t="s">
        <v>22</v>
      </c>
      <c r="B49" s="9" t="s">
        <v>833</v>
      </c>
      <c r="C49" s="9" t="s">
        <v>834</v>
      </c>
      <c r="D49" s="9" t="s">
        <v>835</v>
      </c>
      <c r="E49" s="9" t="s">
        <v>836</v>
      </c>
      <c r="F49" s="9" t="s">
        <v>837</v>
      </c>
      <c r="G49" s="9" t="s">
        <v>838</v>
      </c>
      <c r="L49" s="20">
        <f>$I$7*$L$7</f>
        <v>0</v>
      </c>
      <c r="M49" s="20">
        <f>$I$7*$M$7</f>
        <v>0</v>
      </c>
      <c r="N49" s="20">
        <f>$I$7*$N$7</f>
        <v>0</v>
      </c>
      <c r="O49" s="20">
        <f>$I$7*$O$7</f>
        <v>0</v>
      </c>
      <c r="P49" s="20">
        <f>$I$7*$P$7</f>
        <v>0</v>
      </c>
      <c r="Q49" s="20">
        <f>$I$7*$Q$7</f>
        <v>0</v>
      </c>
      <c r="R49" s="20">
        <f>$I$7*$R$7</f>
        <v>0</v>
      </c>
      <c r="S49" s="20">
        <f>$I$7*$S$7</f>
        <v>0</v>
      </c>
      <c r="T49" s="20">
        <f>$I$7*$T$7</f>
        <v>0</v>
      </c>
      <c r="U49" s="20">
        <f>$I$7*$U$7</f>
        <v>0</v>
      </c>
      <c r="V49" s="20">
        <f>$I$7*$V$7</f>
        <v>0</v>
      </c>
      <c r="X49" s="20">
        <f>$I$7*$X$7</f>
        <v>0</v>
      </c>
      <c r="Y49" s="20">
        <f>$I$7*$Y$7</f>
        <v>0</v>
      </c>
      <c r="Z49" s="20">
        <f>$I$7*$Z$7</f>
        <v>0</v>
      </c>
      <c r="AA49" s="20">
        <f>$I$7*$AA$7</f>
        <v>0</v>
      </c>
      <c r="AB49" s="20">
        <f>$I$7*$AB$7</f>
        <v>0</v>
      </c>
      <c r="AC49" s="20">
        <f>$I$7*$AC$7</f>
        <v>0</v>
      </c>
      <c r="AD49" s="20">
        <f>$I$7*$AD$7</f>
        <v>0</v>
      </c>
      <c r="AE49" s="20">
        <f>$I$7*$AE$7</f>
        <v>0</v>
      </c>
      <c r="AF49" s="20">
        <f>$I$7*$AF$7</f>
        <v>0</v>
      </c>
      <c r="AG49" s="20">
        <f>$I$7*$AG$7</f>
        <v>0</v>
      </c>
      <c r="AH49" s="20">
        <f>$I$7*$AH$7</f>
        <v>0</v>
      </c>
    </row>
    <row r="50" spans="1:34" ht="11.25" customHeight="1" x14ac:dyDescent="0.25">
      <c r="A50" s="9" t="s">
        <v>22</v>
      </c>
      <c r="B50" s="9" t="s">
        <v>833</v>
      </c>
      <c r="C50" s="9" t="s">
        <v>834</v>
      </c>
      <c r="D50" s="9" t="s">
        <v>835</v>
      </c>
      <c r="E50" s="9" t="s">
        <v>836</v>
      </c>
      <c r="F50" s="9" t="s">
        <v>837</v>
      </c>
      <c r="G50" s="9" t="s">
        <v>839</v>
      </c>
      <c r="L50" s="20">
        <f>$I$8*$L$8</f>
        <v>0</v>
      </c>
      <c r="M50" s="20">
        <f>$I$8*$M$8</f>
        <v>0</v>
      </c>
      <c r="N50" s="20">
        <f>$I$8*$N$8</f>
        <v>0</v>
      </c>
      <c r="O50" s="20">
        <f>$I$8*$O$8</f>
        <v>0</v>
      </c>
      <c r="P50" s="20">
        <f>$I$8*$P$8</f>
        <v>0</v>
      </c>
      <c r="Q50" s="20">
        <f>$I$8*$Q$8</f>
        <v>0</v>
      </c>
      <c r="R50" s="20">
        <f>$I$8*$R$8</f>
        <v>0</v>
      </c>
      <c r="S50" s="20">
        <f>$I$8*$S$8</f>
        <v>0</v>
      </c>
      <c r="T50" s="20">
        <f>$I$8*$T$8</f>
        <v>0</v>
      </c>
      <c r="U50" s="20">
        <f>$I$8*$U$8</f>
        <v>0</v>
      </c>
      <c r="V50" s="20">
        <f>$I$8*$V$8</f>
        <v>0</v>
      </c>
      <c r="X50" s="20">
        <f>$I$8*$X$8</f>
        <v>0</v>
      </c>
      <c r="Y50" s="20">
        <f>$I$8*$Y$8</f>
        <v>0</v>
      </c>
      <c r="Z50" s="20">
        <f>$I$8*$Z$8</f>
        <v>0</v>
      </c>
      <c r="AA50" s="20">
        <f>$I$8*$AA$8</f>
        <v>0</v>
      </c>
      <c r="AB50" s="20">
        <f>$I$8*$AB$8</f>
        <v>0</v>
      </c>
      <c r="AC50" s="20">
        <f>$I$8*$AC$8</f>
        <v>0</v>
      </c>
      <c r="AD50" s="20">
        <f>$I$8*$AD$8</f>
        <v>0</v>
      </c>
      <c r="AE50" s="20">
        <f>$I$8*$AE$8</f>
        <v>0</v>
      </c>
      <c r="AF50" s="20">
        <f>$I$8*$AF$8</f>
        <v>0</v>
      </c>
      <c r="AG50" s="20">
        <f>$I$8*$AG$8</f>
        <v>0</v>
      </c>
      <c r="AH50" s="20">
        <f>$I$8*$AH$8</f>
        <v>0</v>
      </c>
    </row>
    <row r="51" spans="1:34" ht="11.25" customHeight="1" x14ac:dyDescent="0.25">
      <c r="A51" s="9" t="s">
        <v>22</v>
      </c>
      <c r="B51" s="9" t="s">
        <v>833</v>
      </c>
      <c r="C51" s="9" t="s">
        <v>834</v>
      </c>
      <c r="D51" s="9" t="s">
        <v>835</v>
      </c>
      <c r="E51" s="9" t="s">
        <v>836</v>
      </c>
      <c r="F51" s="9" t="s">
        <v>837</v>
      </c>
      <c r="G51" s="9" t="s">
        <v>840</v>
      </c>
      <c r="L51" s="20">
        <f>$I$9*$L$9</f>
        <v>0</v>
      </c>
      <c r="M51" s="20">
        <f>$I$9*$M$9</f>
        <v>0</v>
      </c>
      <c r="N51" s="20">
        <f>$I$9*$N$9</f>
        <v>0</v>
      </c>
      <c r="O51" s="20">
        <f>$I$9*$O$9</f>
        <v>0</v>
      </c>
      <c r="P51" s="20">
        <f>$I$9*$P$9</f>
        <v>0</v>
      </c>
      <c r="Q51" s="20">
        <f>$I$9*$Q$9</f>
        <v>0</v>
      </c>
      <c r="R51" s="20">
        <f>$I$9*$R$9</f>
        <v>0</v>
      </c>
      <c r="S51" s="20">
        <f>$I$9*$S$9</f>
        <v>0</v>
      </c>
      <c r="T51" s="20">
        <f>$I$9*$T$9</f>
        <v>0</v>
      </c>
      <c r="U51" s="20">
        <f>$I$9*$U$9</f>
        <v>0</v>
      </c>
      <c r="V51" s="20">
        <f>$I$9*$V$9</f>
        <v>0</v>
      </c>
      <c r="X51" s="20">
        <f>$I$9*$X$9</f>
        <v>0</v>
      </c>
      <c r="Y51" s="20">
        <f>$I$9*$Y$9</f>
        <v>0</v>
      </c>
      <c r="Z51" s="20">
        <f>$I$9*$Z$9</f>
        <v>0</v>
      </c>
      <c r="AA51" s="20">
        <f>$I$9*$AA$9</f>
        <v>0</v>
      </c>
      <c r="AB51" s="20">
        <f>$I$9*$AB$9</f>
        <v>0</v>
      </c>
      <c r="AC51" s="20">
        <f>$I$9*$AC$9</f>
        <v>0</v>
      </c>
      <c r="AD51" s="20">
        <f>$I$9*$AD$9</f>
        <v>0</v>
      </c>
      <c r="AE51" s="20">
        <f>$I$9*$AE$9</f>
        <v>0</v>
      </c>
      <c r="AF51" s="20">
        <f>$I$9*$AF$9</f>
        <v>0</v>
      </c>
      <c r="AG51" s="20">
        <f>$I$9*$AG$9</f>
        <v>0</v>
      </c>
      <c r="AH51" s="20">
        <f>$I$9*$AH$9</f>
        <v>0</v>
      </c>
    </row>
    <row r="52" spans="1:34" ht="11.25" customHeight="1" x14ac:dyDescent="0.25">
      <c r="A52" s="9" t="s">
        <v>22</v>
      </c>
      <c r="B52" s="9" t="s">
        <v>841</v>
      </c>
      <c r="C52" s="9" t="s">
        <v>842</v>
      </c>
      <c r="D52" s="9" t="s">
        <v>843</v>
      </c>
      <c r="E52" s="9" t="s">
        <v>844</v>
      </c>
      <c r="F52" s="9" t="s">
        <v>845</v>
      </c>
      <c r="G52" s="9" t="s">
        <v>846</v>
      </c>
      <c r="L52" s="20">
        <f>$I$10*$L$10</f>
        <v>0</v>
      </c>
      <c r="M52" s="20">
        <f>$I$10*$M$10</f>
        <v>0</v>
      </c>
      <c r="N52" s="20">
        <f>$I$10*$N$10</f>
        <v>0</v>
      </c>
      <c r="O52" s="20">
        <f>$I$10*$O$10</f>
        <v>0</v>
      </c>
      <c r="P52" s="20">
        <f>$I$10*$P$10</f>
        <v>0</v>
      </c>
      <c r="Q52" s="20">
        <f>$I$10*$Q$10</f>
        <v>1558366.3354165906</v>
      </c>
      <c r="R52" s="20">
        <f>$I$10*$R$10</f>
        <v>0</v>
      </c>
      <c r="S52" s="20">
        <f>$I$10*$S$10</f>
        <v>0</v>
      </c>
      <c r="T52" s="20">
        <f>$I$10*$T$10</f>
        <v>0</v>
      </c>
      <c r="U52" s="20">
        <f>$I$10*$U$10</f>
        <v>0</v>
      </c>
      <c r="V52" s="20">
        <f>$I$10*$V$10</f>
        <v>0</v>
      </c>
      <c r="X52" s="20">
        <f>$I$10*$X$10</f>
        <v>0</v>
      </c>
      <c r="Y52" s="20">
        <f>$I$10*$Y$10</f>
        <v>0</v>
      </c>
      <c r="Z52" s="20">
        <f>$I$10*$Z$10</f>
        <v>0</v>
      </c>
      <c r="AA52" s="20">
        <f>$I$10*$AA$10</f>
        <v>0</v>
      </c>
      <c r="AB52" s="20">
        <f>$I$10*$AB$10</f>
        <v>0</v>
      </c>
      <c r="AC52" s="20">
        <f>$I$10*$AC$10</f>
        <v>1672226.0331690838</v>
      </c>
      <c r="AD52" s="20">
        <f>$I$10*$AD$10</f>
        <v>0</v>
      </c>
      <c r="AE52" s="20">
        <f>$I$10*$AE$10</f>
        <v>0</v>
      </c>
      <c r="AF52" s="20">
        <f>$I$10*$AF$10</f>
        <v>0</v>
      </c>
      <c r="AG52" s="20">
        <f>$I$10*$AG$10</f>
        <v>0</v>
      </c>
      <c r="AH52" s="20">
        <f>$I$10*$AH$10</f>
        <v>0</v>
      </c>
    </row>
    <row r="53" spans="1:34" ht="11.25" customHeight="1" x14ac:dyDescent="0.25">
      <c r="A53" s="9" t="s">
        <v>22</v>
      </c>
      <c r="B53" s="9" t="s">
        <v>841</v>
      </c>
      <c r="C53" s="9" t="s">
        <v>842</v>
      </c>
      <c r="D53" s="9" t="s">
        <v>847</v>
      </c>
      <c r="E53" s="9" t="s">
        <v>848</v>
      </c>
      <c r="F53" s="9" t="s">
        <v>849</v>
      </c>
      <c r="G53" s="9" t="s">
        <v>850</v>
      </c>
      <c r="L53" s="20">
        <f>$I$11*$L$11</f>
        <v>0</v>
      </c>
      <c r="M53" s="20">
        <f>$I$11*$M$11</f>
        <v>0</v>
      </c>
      <c r="N53" s="20">
        <f>$I$11*$N$11</f>
        <v>0</v>
      </c>
      <c r="O53" s="20">
        <f>$I$11*$O$11</f>
        <v>0</v>
      </c>
      <c r="P53" s="20">
        <f>$I$11*$P$11</f>
        <v>0</v>
      </c>
      <c r="Q53" s="20">
        <f>$I$11*$Q$11</f>
        <v>5987.8195135809638</v>
      </c>
      <c r="R53" s="20">
        <f>$I$11*$R$11</f>
        <v>0</v>
      </c>
      <c r="S53" s="20">
        <f>$I$11*$S$11</f>
        <v>0</v>
      </c>
      <c r="T53" s="20">
        <f>$I$11*$T$11</f>
        <v>0</v>
      </c>
      <c r="U53" s="20">
        <f>$I$11*$U$11</f>
        <v>0</v>
      </c>
      <c r="V53" s="20">
        <f>$I$11*$V$11</f>
        <v>0</v>
      </c>
      <c r="X53" s="20">
        <f>$I$11*$X$11</f>
        <v>0</v>
      </c>
      <c r="Y53" s="20">
        <f>$I$11*$Y$11</f>
        <v>0</v>
      </c>
      <c r="Z53" s="20">
        <f>$I$11*$Z$11</f>
        <v>0</v>
      </c>
      <c r="AA53" s="20">
        <f>$I$11*$AA$11</f>
        <v>0</v>
      </c>
      <c r="AB53" s="20">
        <f>$I$11*$AB$11</f>
        <v>0</v>
      </c>
      <c r="AC53" s="20">
        <f>$I$11*$AC$11</f>
        <v>6425.3105607875004</v>
      </c>
      <c r="AD53" s="20">
        <f>$I$11*$AD$11</f>
        <v>0</v>
      </c>
      <c r="AE53" s="20">
        <f>$I$11*$AE$11</f>
        <v>0</v>
      </c>
      <c r="AF53" s="20">
        <f>$I$11*$AF$11</f>
        <v>0</v>
      </c>
      <c r="AG53" s="20">
        <f>$I$11*$AG$11</f>
        <v>0</v>
      </c>
      <c r="AH53" s="20">
        <f>$I$11*$AH$11</f>
        <v>0</v>
      </c>
    </row>
    <row r="54" spans="1:34" ht="11.25" customHeight="1" x14ac:dyDescent="0.25">
      <c r="A54" s="9" t="s">
        <v>22</v>
      </c>
      <c r="B54" s="9" t="s">
        <v>841</v>
      </c>
      <c r="C54" s="9" t="s">
        <v>842</v>
      </c>
      <c r="D54" s="9" t="s">
        <v>851</v>
      </c>
      <c r="E54" s="9" t="s">
        <v>852</v>
      </c>
      <c r="F54" s="9" t="s">
        <v>853</v>
      </c>
      <c r="G54" s="9" t="s">
        <v>854</v>
      </c>
      <c r="L54" s="20">
        <f>$I$12*$L$12</f>
        <v>0</v>
      </c>
      <c r="M54" s="20">
        <f>$I$12*$M$12</f>
        <v>0</v>
      </c>
      <c r="N54" s="20">
        <f>$I$12*$N$12</f>
        <v>0</v>
      </c>
      <c r="O54" s="20">
        <f>$I$12*$O$12</f>
        <v>0</v>
      </c>
      <c r="P54" s="20">
        <f>$I$12*$P$12</f>
        <v>0</v>
      </c>
      <c r="Q54" s="20">
        <f>$I$12*$Q$12</f>
        <v>20660.469122599123</v>
      </c>
      <c r="R54" s="20">
        <f>$I$12*$R$12</f>
        <v>0</v>
      </c>
      <c r="S54" s="20">
        <f>$I$12*$S$12</f>
        <v>0</v>
      </c>
      <c r="T54" s="20">
        <f>$I$12*$T$12</f>
        <v>0</v>
      </c>
      <c r="U54" s="20">
        <f>$I$12*$U$12</f>
        <v>0</v>
      </c>
      <c r="V54" s="20">
        <f>$I$12*$V$12</f>
        <v>0</v>
      </c>
      <c r="X54" s="20">
        <f>$I$12*$X$12</f>
        <v>0</v>
      </c>
      <c r="Y54" s="20">
        <f>$I$12*$Y$12</f>
        <v>0</v>
      </c>
      <c r="Z54" s="20">
        <f>$I$12*$Z$12</f>
        <v>0</v>
      </c>
      <c r="AA54" s="20">
        <f>$I$12*$AA$12</f>
        <v>0</v>
      </c>
      <c r="AB54" s="20">
        <f>$I$12*$AB$12</f>
        <v>0</v>
      </c>
      <c r="AC54" s="20">
        <f>$I$12*$AC$12</f>
        <v>22169.995295143803</v>
      </c>
      <c r="AD54" s="20">
        <f>$I$12*$AD$12</f>
        <v>0</v>
      </c>
      <c r="AE54" s="20">
        <f>$I$12*$AE$12</f>
        <v>0</v>
      </c>
      <c r="AF54" s="20">
        <f>$I$12*$AF$12</f>
        <v>0</v>
      </c>
      <c r="AG54" s="20">
        <f>$I$12*$AG$12</f>
        <v>0</v>
      </c>
      <c r="AH54" s="20">
        <f>$I$12*$AH$12</f>
        <v>0</v>
      </c>
    </row>
    <row r="55" spans="1:34" ht="11.25" customHeight="1" x14ac:dyDescent="0.25">
      <c r="A55" s="9" t="s">
        <v>22</v>
      </c>
      <c r="B55" s="9" t="s">
        <v>841</v>
      </c>
      <c r="C55" s="9" t="s">
        <v>842</v>
      </c>
      <c r="D55" s="9" t="s">
        <v>855</v>
      </c>
      <c r="E55" s="9" t="s">
        <v>856</v>
      </c>
      <c r="F55" s="9" t="s">
        <v>857</v>
      </c>
      <c r="G55" s="9" t="s">
        <v>858</v>
      </c>
      <c r="L55" s="20">
        <f>$I$13*$L$13</f>
        <v>0</v>
      </c>
      <c r="M55" s="20">
        <f>$I$13*$M$13</f>
        <v>0</v>
      </c>
      <c r="N55" s="20">
        <f>$I$13*$N$13</f>
        <v>0</v>
      </c>
      <c r="O55" s="20">
        <f>$I$13*$O$13</f>
        <v>0</v>
      </c>
      <c r="P55" s="20">
        <f>$I$13*$P$13</f>
        <v>0</v>
      </c>
      <c r="Q55" s="20">
        <f>$I$13*$Q$13</f>
        <v>31778.426792380153</v>
      </c>
      <c r="R55" s="20">
        <f>$I$13*$R$13</f>
        <v>0</v>
      </c>
      <c r="S55" s="20">
        <f>$I$13*$S$13</f>
        <v>0</v>
      </c>
      <c r="T55" s="20">
        <f>$I$13*$T$13</f>
        <v>0</v>
      </c>
      <c r="U55" s="20">
        <f>$I$13*$U$13</f>
        <v>0</v>
      </c>
      <c r="V55" s="20">
        <f>$I$13*$V$13</f>
        <v>0</v>
      </c>
      <c r="X55" s="20">
        <f>$I$13*$X$13</f>
        <v>0</v>
      </c>
      <c r="Y55" s="20">
        <f>$I$13*$Y$13</f>
        <v>0</v>
      </c>
      <c r="Z55" s="20">
        <f>$I$13*$Z$13</f>
        <v>0</v>
      </c>
      <c r="AA55" s="20">
        <f>$I$13*$AA$13</f>
        <v>0</v>
      </c>
      <c r="AB55" s="20">
        <f>$I$13*$AB$13</f>
        <v>0</v>
      </c>
      <c r="AC55" s="20">
        <f>$I$13*$AC$13</f>
        <v>34100.269858030675</v>
      </c>
      <c r="AD55" s="20">
        <f>$I$13*$AD$13</f>
        <v>0</v>
      </c>
      <c r="AE55" s="20">
        <f>$I$13*$AE$13</f>
        <v>0</v>
      </c>
      <c r="AF55" s="20">
        <f>$I$13*$AF$13</f>
        <v>0</v>
      </c>
      <c r="AG55" s="20">
        <f>$I$13*$AG$13</f>
        <v>0</v>
      </c>
      <c r="AH55" s="20">
        <f>$I$13*$AH$13</f>
        <v>0</v>
      </c>
    </row>
    <row r="56" spans="1:34" ht="11.25" customHeight="1" x14ac:dyDescent="0.25">
      <c r="A56" s="9" t="s">
        <v>22</v>
      </c>
      <c r="B56" s="9" t="s">
        <v>841</v>
      </c>
      <c r="C56" s="9" t="s">
        <v>842</v>
      </c>
      <c r="D56" s="9" t="s">
        <v>859</v>
      </c>
      <c r="E56" s="9" t="s">
        <v>860</v>
      </c>
      <c r="F56" s="9" t="s">
        <v>861</v>
      </c>
      <c r="G56" s="9" t="s">
        <v>862</v>
      </c>
      <c r="L56" s="20">
        <f>$I$14*$L$14</f>
        <v>0</v>
      </c>
      <c r="M56" s="20">
        <f>$I$14*$M$14</f>
        <v>0</v>
      </c>
      <c r="N56" s="20">
        <f>$I$14*$N$14</f>
        <v>0</v>
      </c>
      <c r="O56" s="20">
        <f>$I$14*$O$14</f>
        <v>0</v>
      </c>
      <c r="P56" s="20">
        <f>$I$14*$P$14</f>
        <v>0</v>
      </c>
      <c r="Q56" s="20">
        <f>$I$14*$Q$14</f>
        <v>15887.635332697075</v>
      </c>
      <c r="R56" s="20">
        <f>$I$14*$R$14</f>
        <v>0</v>
      </c>
      <c r="S56" s="20">
        <f>$I$14*$S$14</f>
        <v>0</v>
      </c>
      <c r="T56" s="20">
        <f>$I$14*$T$14</f>
        <v>0</v>
      </c>
      <c r="U56" s="20">
        <f>$I$14*$U$14</f>
        <v>0</v>
      </c>
      <c r="V56" s="20">
        <f>$I$14*$V$14</f>
        <v>0</v>
      </c>
      <c r="X56" s="20">
        <f>$I$14*$X$14</f>
        <v>0</v>
      </c>
      <c r="Y56" s="20">
        <f>$I$14*$Y$14</f>
        <v>0</v>
      </c>
      <c r="Z56" s="20">
        <f>$I$14*$Z$14</f>
        <v>0</v>
      </c>
      <c r="AA56" s="20">
        <f>$I$14*$AA$14</f>
        <v>0</v>
      </c>
      <c r="AB56" s="20">
        <f>$I$14*$AB$14</f>
        <v>0</v>
      </c>
      <c r="AC56" s="20">
        <f>$I$14*$AC$14</f>
        <v>17048.441566681293</v>
      </c>
      <c r="AD56" s="20">
        <f>$I$14*$AD$14</f>
        <v>0</v>
      </c>
      <c r="AE56" s="20">
        <f>$I$14*$AE$14</f>
        <v>0</v>
      </c>
      <c r="AF56" s="20">
        <f>$I$14*$AF$14</f>
        <v>0</v>
      </c>
      <c r="AG56" s="20">
        <f>$I$14*$AG$14</f>
        <v>0</v>
      </c>
      <c r="AH56" s="20">
        <f>$I$14*$AH$14</f>
        <v>0</v>
      </c>
    </row>
    <row r="57" spans="1:34" ht="11.25" customHeight="1" x14ac:dyDescent="0.25">
      <c r="A57" s="9" t="s">
        <v>22</v>
      </c>
      <c r="B57" s="9" t="s">
        <v>863</v>
      </c>
      <c r="C57" s="9" t="s">
        <v>864</v>
      </c>
      <c r="D57" s="9" t="s">
        <v>865</v>
      </c>
      <c r="E57" s="9" t="s">
        <v>866</v>
      </c>
      <c r="F57" s="9" t="s">
        <v>867</v>
      </c>
      <c r="G57" s="9" t="s">
        <v>868</v>
      </c>
      <c r="L57" s="20">
        <f>$I$15*$L$15</f>
        <v>0</v>
      </c>
      <c r="M57" s="20">
        <f>$I$15*$M$15</f>
        <v>0</v>
      </c>
      <c r="N57" s="20">
        <f>$I$15*$N$15</f>
        <v>0</v>
      </c>
      <c r="O57" s="20">
        <f>$I$15*$O$15</f>
        <v>0</v>
      </c>
      <c r="P57" s="20">
        <f>$I$15*$P$15</f>
        <v>0</v>
      </c>
      <c r="Q57" s="20">
        <f>$I$15*$Q$15</f>
        <v>0</v>
      </c>
      <c r="R57" s="20">
        <f>$I$15*$R$15</f>
        <v>0</v>
      </c>
      <c r="S57" s="20">
        <f>$I$15*$S$15</f>
        <v>0</v>
      </c>
      <c r="T57" s="20">
        <f>$I$15*$T$15</f>
        <v>0</v>
      </c>
      <c r="U57" s="20">
        <f>$I$15*$U$15</f>
        <v>0</v>
      </c>
      <c r="V57" s="20">
        <f>$I$15*$V$15</f>
        <v>0</v>
      </c>
      <c r="X57" s="20">
        <f>$I$15*$X$15</f>
        <v>0</v>
      </c>
      <c r="Y57" s="20">
        <f>$I$15*$Y$15</f>
        <v>0</v>
      </c>
      <c r="Z57" s="20">
        <f>$I$15*$Z$15</f>
        <v>0</v>
      </c>
      <c r="AA57" s="20">
        <f>$I$15*$AA$15</f>
        <v>0</v>
      </c>
      <c r="AB57" s="20">
        <f>$I$15*$AB$15</f>
        <v>0</v>
      </c>
      <c r="AC57" s="20">
        <f>$I$15*$AC$15</f>
        <v>0</v>
      </c>
      <c r="AD57" s="20">
        <f>$I$15*$AD$15</f>
        <v>0</v>
      </c>
      <c r="AE57" s="20">
        <f>$I$15*$AE$15</f>
        <v>0</v>
      </c>
      <c r="AF57" s="20">
        <f>$I$15*$AF$15</f>
        <v>0</v>
      </c>
      <c r="AG57" s="20">
        <f>$I$15*$AG$15</f>
        <v>0</v>
      </c>
      <c r="AH57" s="20">
        <f>$I$15*$AH$15</f>
        <v>0</v>
      </c>
    </row>
    <row r="58" spans="1:34" ht="11.25" customHeight="1" x14ac:dyDescent="0.25">
      <c r="A58" s="9" t="s">
        <v>22</v>
      </c>
      <c r="B58" s="9" t="s">
        <v>863</v>
      </c>
      <c r="C58" s="9" t="s">
        <v>864</v>
      </c>
      <c r="D58" s="9" t="s">
        <v>869</v>
      </c>
      <c r="E58" s="9" t="s">
        <v>870</v>
      </c>
      <c r="F58" s="9" t="s">
        <v>871</v>
      </c>
      <c r="G58" s="9" t="s">
        <v>872</v>
      </c>
      <c r="L58" s="20">
        <f>$I$16*$L$16</f>
        <v>0</v>
      </c>
      <c r="M58" s="20">
        <f>$I$16*$M$16</f>
        <v>0</v>
      </c>
      <c r="N58" s="20">
        <f>$I$16*$N$16</f>
        <v>0</v>
      </c>
      <c r="O58" s="20">
        <f>$I$16*$O$16</f>
        <v>0</v>
      </c>
      <c r="P58" s="20">
        <f>$I$16*$P$16</f>
        <v>0</v>
      </c>
      <c r="Q58" s="20">
        <f>$I$16*$Q$16</f>
        <v>0</v>
      </c>
      <c r="R58" s="20">
        <f>$I$16*$R$16</f>
        <v>0</v>
      </c>
      <c r="S58" s="20">
        <f>$I$16*$S$16</f>
        <v>0</v>
      </c>
      <c r="T58" s="20">
        <f>$I$16*$T$16</f>
        <v>0</v>
      </c>
      <c r="U58" s="20">
        <f>$I$16*$U$16</f>
        <v>0</v>
      </c>
      <c r="V58" s="20">
        <f>$I$16*$V$16</f>
        <v>0</v>
      </c>
      <c r="X58" s="20">
        <f>$I$16*$X$16</f>
        <v>0</v>
      </c>
      <c r="Y58" s="20">
        <f>$I$16*$Y$16</f>
        <v>0</v>
      </c>
      <c r="Z58" s="20">
        <f>$I$16*$Z$16</f>
        <v>0</v>
      </c>
      <c r="AA58" s="20">
        <f>$I$16*$AA$16</f>
        <v>0</v>
      </c>
      <c r="AB58" s="20">
        <f>$I$16*$AB$16</f>
        <v>0</v>
      </c>
      <c r="AC58" s="20">
        <f>$I$16*$AC$16</f>
        <v>0</v>
      </c>
      <c r="AD58" s="20">
        <f>$I$16*$AD$16</f>
        <v>0</v>
      </c>
      <c r="AE58" s="20">
        <f>$I$16*$AE$16</f>
        <v>0</v>
      </c>
      <c r="AF58" s="20">
        <f>$I$16*$AF$16</f>
        <v>0</v>
      </c>
      <c r="AG58" s="20">
        <f>$I$16*$AG$16</f>
        <v>0</v>
      </c>
      <c r="AH58" s="20">
        <f>$I$16*$AH$16</f>
        <v>0</v>
      </c>
    </row>
    <row r="59" spans="1:34" ht="11.25" customHeight="1" x14ac:dyDescent="0.25">
      <c r="A59" s="9" t="s">
        <v>22</v>
      </c>
      <c r="B59" s="9" t="s">
        <v>863</v>
      </c>
      <c r="C59" s="9" t="s">
        <v>864</v>
      </c>
      <c r="D59" s="9" t="s">
        <v>873</v>
      </c>
      <c r="E59" s="9" t="s">
        <v>874</v>
      </c>
      <c r="F59" s="9" t="s">
        <v>875</v>
      </c>
      <c r="G59" s="9" t="s">
        <v>876</v>
      </c>
      <c r="L59" s="20">
        <f>$I$17*$L$17</f>
        <v>0</v>
      </c>
      <c r="M59" s="20">
        <f>$I$17*$M$17</f>
        <v>0</v>
      </c>
      <c r="N59" s="20">
        <f>$I$17*$N$17</f>
        <v>0</v>
      </c>
      <c r="O59" s="20">
        <f>$I$17*$O$17</f>
        <v>0</v>
      </c>
      <c r="P59" s="20">
        <f>$I$17*$P$17</f>
        <v>0</v>
      </c>
      <c r="Q59" s="20">
        <f>$I$17*$Q$17</f>
        <v>0</v>
      </c>
      <c r="R59" s="20">
        <f>$I$17*$R$17</f>
        <v>0</v>
      </c>
      <c r="S59" s="20">
        <f>$I$17*$S$17</f>
        <v>0</v>
      </c>
      <c r="T59" s="20">
        <f>$I$17*$T$17</f>
        <v>0</v>
      </c>
      <c r="U59" s="20">
        <f>$I$17*$U$17</f>
        <v>0</v>
      </c>
      <c r="V59" s="20">
        <f>$I$17*$V$17</f>
        <v>0</v>
      </c>
      <c r="X59" s="20">
        <f>$I$17*$X$17</f>
        <v>0</v>
      </c>
      <c r="Y59" s="20">
        <f>$I$17*$Y$17</f>
        <v>0</v>
      </c>
      <c r="Z59" s="20">
        <f>$I$17*$Z$17</f>
        <v>0</v>
      </c>
      <c r="AA59" s="20">
        <f>$I$17*$AA$17</f>
        <v>0</v>
      </c>
      <c r="AB59" s="20">
        <f>$I$17*$AB$17</f>
        <v>0</v>
      </c>
      <c r="AC59" s="20">
        <f>$I$17*$AC$17</f>
        <v>0</v>
      </c>
      <c r="AD59" s="20">
        <f>$I$17*$AD$17</f>
        <v>0</v>
      </c>
      <c r="AE59" s="20">
        <f>$I$17*$AE$17</f>
        <v>0</v>
      </c>
      <c r="AF59" s="20">
        <f>$I$17*$AF$17</f>
        <v>0</v>
      </c>
      <c r="AG59" s="20">
        <f>$I$17*$AG$17</f>
        <v>0</v>
      </c>
      <c r="AH59" s="20">
        <f>$I$17*$AH$17</f>
        <v>0</v>
      </c>
    </row>
    <row r="60" spans="1:34" ht="11.25" customHeight="1" x14ac:dyDescent="0.25">
      <c r="A60" s="9" t="s">
        <v>22</v>
      </c>
      <c r="B60" s="9" t="s">
        <v>863</v>
      </c>
      <c r="C60" s="9" t="s">
        <v>864</v>
      </c>
      <c r="D60" s="9" t="s">
        <v>877</v>
      </c>
      <c r="E60" s="9" t="s">
        <v>878</v>
      </c>
      <c r="F60" s="9" t="s">
        <v>879</v>
      </c>
      <c r="G60" s="9" t="s">
        <v>880</v>
      </c>
      <c r="L60" s="20">
        <f>$I$18*$L$18</f>
        <v>0</v>
      </c>
      <c r="M60" s="20">
        <f>$I$18*$M$18</f>
        <v>0</v>
      </c>
      <c r="N60" s="20">
        <f>$I$18*$N$18</f>
        <v>0</v>
      </c>
      <c r="O60" s="20">
        <f>$I$18*$O$18</f>
        <v>0</v>
      </c>
      <c r="P60" s="20">
        <f>$I$18*$P$18</f>
        <v>0</v>
      </c>
      <c r="Q60" s="20">
        <f>$I$18*$Q$18</f>
        <v>0</v>
      </c>
      <c r="R60" s="20">
        <f>$I$18*$R$18</f>
        <v>0</v>
      </c>
      <c r="S60" s="20">
        <f>$I$18*$S$18</f>
        <v>0</v>
      </c>
      <c r="T60" s="20">
        <f>$I$18*$T$18</f>
        <v>0</v>
      </c>
      <c r="U60" s="20">
        <f>$I$18*$U$18</f>
        <v>0</v>
      </c>
      <c r="V60" s="20">
        <f>$I$18*$V$18</f>
        <v>0</v>
      </c>
      <c r="X60" s="20">
        <f>$I$18*$X$18</f>
        <v>0</v>
      </c>
      <c r="Y60" s="20">
        <f>$I$18*$Y$18</f>
        <v>0</v>
      </c>
      <c r="Z60" s="20">
        <f>$I$18*$Z$18</f>
        <v>0</v>
      </c>
      <c r="AA60" s="20">
        <f>$I$18*$AA$18</f>
        <v>0</v>
      </c>
      <c r="AB60" s="20">
        <f>$I$18*$AB$18</f>
        <v>0</v>
      </c>
      <c r="AC60" s="20">
        <f>$I$18*$AC$18</f>
        <v>0</v>
      </c>
      <c r="AD60" s="20">
        <f>$I$18*$AD$18</f>
        <v>0</v>
      </c>
      <c r="AE60" s="20">
        <f>$I$18*$AE$18</f>
        <v>0</v>
      </c>
      <c r="AF60" s="20">
        <f>$I$18*$AF$18</f>
        <v>0</v>
      </c>
      <c r="AG60" s="20">
        <f>$I$18*$AG$18</f>
        <v>0</v>
      </c>
      <c r="AH60" s="20">
        <f>$I$18*$AH$18</f>
        <v>0</v>
      </c>
    </row>
    <row r="61" spans="1:34" ht="11.25" customHeight="1" x14ac:dyDescent="0.25">
      <c r="A61" s="9" t="s">
        <v>22</v>
      </c>
      <c r="B61" s="9" t="s">
        <v>863</v>
      </c>
      <c r="C61" s="9" t="s">
        <v>864</v>
      </c>
      <c r="D61" s="9" t="s">
        <v>881</v>
      </c>
      <c r="E61" s="9" t="s">
        <v>882</v>
      </c>
      <c r="F61" s="9" t="s">
        <v>883</v>
      </c>
      <c r="G61" s="9" t="s">
        <v>884</v>
      </c>
      <c r="L61" s="20">
        <f>$I$19*$L$19</f>
        <v>0</v>
      </c>
      <c r="M61" s="20">
        <f>$I$19*$M$19</f>
        <v>0</v>
      </c>
      <c r="N61" s="20">
        <f>$I$19*$N$19</f>
        <v>0</v>
      </c>
      <c r="O61" s="20">
        <f>$I$19*$O$19</f>
        <v>0</v>
      </c>
      <c r="P61" s="20">
        <f>$I$19*$P$19</f>
        <v>0</v>
      </c>
      <c r="Q61" s="20">
        <f>$I$19*$Q$19</f>
        <v>0</v>
      </c>
      <c r="R61" s="20">
        <f>$I$19*$R$19</f>
        <v>0</v>
      </c>
      <c r="S61" s="20">
        <f>$I$19*$S$19</f>
        <v>0</v>
      </c>
      <c r="T61" s="20">
        <f>$I$19*$T$19</f>
        <v>0</v>
      </c>
      <c r="U61" s="20">
        <f>$I$19*$U$19</f>
        <v>0</v>
      </c>
      <c r="V61" s="20">
        <f>$I$19*$V$19</f>
        <v>0</v>
      </c>
      <c r="X61" s="20">
        <f>$I$19*$X$19</f>
        <v>0</v>
      </c>
      <c r="Y61" s="20">
        <f>$I$19*$Y$19</f>
        <v>0</v>
      </c>
      <c r="Z61" s="20">
        <f>$I$19*$Z$19</f>
        <v>0</v>
      </c>
      <c r="AA61" s="20">
        <f>$I$19*$AA$19</f>
        <v>0</v>
      </c>
      <c r="AB61" s="20">
        <f>$I$19*$AB$19</f>
        <v>0</v>
      </c>
      <c r="AC61" s="20">
        <f>$I$19*$AC$19</f>
        <v>0</v>
      </c>
      <c r="AD61" s="20">
        <f>$I$19*$AD$19</f>
        <v>0</v>
      </c>
      <c r="AE61" s="20">
        <f>$I$19*$AE$19</f>
        <v>0</v>
      </c>
      <c r="AF61" s="20">
        <f>$I$19*$AF$19</f>
        <v>0</v>
      </c>
      <c r="AG61" s="20">
        <f>$I$19*$AG$19</f>
        <v>0</v>
      </c>
      <c r="AH61" s="20">
        <f>$I$19*$AH$19</f>
        <v>0</v>
      </c>
    </row>
    <row r="62" spans="1:34" ht="11.25" customHeight="1" x14ac:dyDescent="0.25">
      <c r="A62" s="9" t="s">
        <v>40</v>
      </c>
      <c r="B62" s="9" t="s">
        <v>885</v>
      </c>
      <c r="C62" s="9" t="s">
        <v>886</v>
      </c>
      <c r="D62" s="9" t="s">
        <v>887</v>
      </c>
      <c r="E62" s="9" t="s">
        <v>888</v>
      </c>
      <c r="F62" s="9" t="s">
        <v>889</v>
      </c>
      <c r="G62" s="9" t="s">
        <v>890</v>
      </c>
      <c r="L62" s="20">
        <f>$I$20*$L$20</f>
        <v>0</v>
      </c>
      <c r="M62" s="20">
        <f>$I$20*$M$20</f>
        <v>0</v>
      </c>
      <c r="N62" s="20">
        <f>$I$20*$N$20</f>
        <v>0</v>
      </c>
      <c r="O62" s="20">
        <f>$I$20*$O$20</f>
        <v>0</v>
      </c>
      <c r="P62" s="20">
        <f>$I$20*$P$20</f>
        <v>0</v>
      </c>
      <c r="Q62" s="20">
        <f>$I$20*$Q$20</f>
        <v>0</v>
      </c>
      <c r="R62" s="20">
        <f>$I$20*$R$20</f>
        <v>0</v>
      </c>
      <c r="S62" s="20">
        <f>$I$20*$S$20</f>
        <v>0</v>
      </c>
      <c r="T62" s="20">
        <f>$I$20*$T$20</f>
        <v>0</v>
      </c>
      <c r="U62" s="20">
        <f>$I$20*$U$20</f>
        <v>0</v>
      </c>
      <c r="V62" s="20">
        <f>$I$20*$V$20</f>
        <v>0</v>
      </c>
      <c r="X62" s="20">
        <f>$I$20*$X$20</f>
        <v>0</v>
      </c>
      <c r="Y62" s="20">
        <f>$I$20*$Y$20</f>
        <v>0</v>
      </c>
      <c r="Z62" s="20">
        <f>$I$20*$Z$20</f>
        <v>0</v>
      </c>
      <c r="AA62" s="20">
        <f>$I$20*$AA$20</f>
        <v>0</v>
      </c>
      <c r="AB62" s="20">
        <f>$I$20*$AB$20</f>
        <v>0</v>
      </c>
      <c r="AC62" s="20">
        <f>$I$20*$AC$20</f>
        <v>0</v>
      </c>
      <c r="AD62" s="20">
        <f>$I$20*$AD$20</f>
        <v>0</v>
      </c>
      <c r="AE62" s="20">
        <f>$I$20*$AE$20</f>
        <v>0</v>
      </c>
      <c r="AF62" s="20">
        <f>$I$20*$AF$20</f>
        <v>0</v>
      </c>
      <c r="AG62" s="20">
        <f>$I$20*$AG$20</f>
        <v>0</v>
      </c>
      <c r="AH62" s="20">
        <f>$I$20*$AH$20</f>
        <v>0</v>
      </c>
    </row>
    <row r="63" spans="1:34" ht="11.25" customHeight="1" x14ac:dyDescent="0.25">
      <c r="A63" s="9" t="s">
        <v>40</v>
      </c>
      <c r="B63" s="9" t="s">
        <v>885</v>
      </c>
      <c r="C63" s="9" t="s">
        <v>886</v>
      </c>
      <c r="D63" s="9" t="s">
        <v>887</v>
      </c>
      <c r="E63" s="9" t="s">
        <v>888</v>
      </c>
      <c r="F63" s="9" t="s">
        <v>889</v>
      </c>
      <c r="G63" s="9" t="s">
        <v>891</v>
      </c>
      <c r="L63" s="20">
        <f>$I$21*$L$21</f>
        <v>0</v>
      </c>
      <c r="M63" s="20">
        <f>$I$21*$M$21</f>
        <v>0</v>
      </c>
      <c r="N63" s="20">
        <f>$I$21*$N$21</f>
        <v>0</v>
      </c>
      <c r="O63" s="20">
        <f>$I$21*$O$21</f>
        <v>0</v>
      </c>
      <c r="P63" s="20">
        <f>$I$21*$P$21</f>
        <v>0</v>
      </c>
      <c r="Q63" s="20">
        <f>$I$21*$Q$21</f>
        <v>0</v>
      </c>
      <c r="R63" s="20">
        <f>$I$21*$R$21</f>
        <v>0</v>
      </c>
      <c r="S63" s="20">
        <f>$I$21*$S$21</f>
        <v>0</v>
      </c>
      <c r="T63" s="20">
        <f>$I$21*$T$21</f>
        <v>0</v>
      </c>
      <c r="U63" s="20">
        <f>$I$21*$U$21</f>
        <v>0</v>
      </c>
      <c r="V63" s="20">
        <f>$I$21*$V$21</f>
        <v>0</v>
      </c>
      <c r="X63" s="20">
        <f>$I$21*$X$21</f>
        <v>0</v>
      </c>
      <c r="Y63" s="20">
        <f>$I$21*$Y$21</f>
        <v>0</v>
      </c>
      <c r="Z63" s="20">
        <f>$I$21*$Z$21</f>
        <v>0</v>
      </c>
      <c r="AA63" s="20">
        <f>$I$21*$AA$21</f>
        <v>0</v>
      </c>
      <c r="AB63" s="20">
        <f>$I$21*$AB$21</f>
        <v>0</v>
      </c>
      <c r="AC63" s="20">
        <f>$I$21*$AC$21</f>
        <v>0</v>
      </c>
      <c r="AD63" s="20">
        <f>$I$21*$AD$21</f>
        <v>0</v>
      </c>
      <c r="AE63" s="20">
        <f>$I$21*$AE$21</f>
        <v>0</v>
      </c>
      <c r="AF63" s="20">
        <f>$I$21*$AF$21</f>
        <v>0</v>
      </c>
      <c r="AG63" s="20">
        <f>$I$21*$AG$21</f>
        <v>0</v>
      </c>
      <c r="AH63" s="20">
        <f>$I$21*$AH$21</f>
        <v>0</v>
      </c>
    </row>
    <row r="64" spans="1:34" ht="11.25" customHeight="1" x14ac:dyDescent="0.25">
      <c r="A64" s="9" t="s">
        <v>40</v>
      </c>
      <c r="B64" s="9" t="s">
        <v>885</v>
      </c>
      <c r="C64" s="9" t="s">
        <v>886</v>
      </c>
      <c r="D64" s="9" t="s">
        <v>887</v>
      </c>
      <c r="E64" s="9" t="s">
        <v>888</v>
      </c>
      <c r="F64" s="9" t="s">
        <v>889</v>
      </c>
      <c r="G64" s="9" t="s">
        <v>892</v>
      </c>
      <c r="L64" s="20">
        <f>$I$22*$L$22</f>
        <v>0</v>
      </c>
      <c r="M64" s="20">
        <f>$I$22*$M$22</f>
        <v>0</v>
      </c>
      <c r="N64" s="20">
        <f>$I$22*$N$22</f>
        <v>0</v>
      </c>
      <c r="O64" s="20">
        <f>$I$22*$O$22</f>
        <v>0</v>
      </c>
      <c r="P64" s="20">
        <f>$I$22*$P$22</f>
        <v>0</v>
      </c>
      <c r="Q64" s="20">
        <f>$I$22*$Q$22</f>
        <v>0</v>
      </c>
      <c r="R64" s="20">
        <f>$I$22*$R$22</f>
        <v>0</v>
      </c>
      <c r="S64" s="20">
        <f>$I$22*$S$22</f>
        <v>0</v>
      </c>
      <c r="T64" s="20">
        <f>$I$22*$T$22</f>
        <v>0</v>
      </c>
      <c r="U64" s="20">
        <f>$I$22*$U$22</f>
        <v>0</v>
      </c>
      <c r="V64" s="20">
        <f>$I$22*$V$22</f>
        <v>0</v>
      </c>
      <c r="X64" s="20">
        <f>$I$22*$X$22</f>
        <v>0</v>
      </c>
      <c r="Y64" s="20">
        <f>$I$22*$Y$22</f>
        <v>0</v>
      </c>
      <c r="Z64" s="20">
        <f>$I$22*$Z$22</f>
        <v>0</v>
      </c>
      <c r="AA64" s="20">
        <f>$I$22*$AA$22</f>
        <v>0</v>
      </c>
      <c r="AB64" s="20">
        <f>$I$22*$AB$22</f>
        <v>0</v>
      </c>
      <c r="AC64" s="20">
        <f>$I$22*$AC$22</f>
        <v>0</v>
      </c>
      <c r="AD64" s="20">
        <f>$I$22*$AD$22</f>
        <v>0</v>
      </c>
      <c r="AE64" s="20">
        <f>$I$22*$AE$22</f>
        <v>0</v>
      </c>
      <c r="AF64" s="20">
        <f>$I$22*$AF$22</f>
        <v>0</v>
      </c>
      <c r="AG64" s="20">
        <f>$I$22*$AG$22</f>
        <v>0</v>
      </c>
      <c r="AH64" s="20">
        <f>$I$22*$AH$22</f>
        <v>0</v>
      </c>
    </row>
    <row r="65" spans="1:34" ht="11.25" customHeight="1" x14ac:dyDescent="0.25">
      <c r="A65" s="9" t="s">
        <v>40</v>
      </c>
      <c r="B65" s="9" t="s">
        <v>893</v>
      </c>
      <c r="C65" s="9" t="s">
        <v>894</v>
      </c>
      <c r="D65" s="9" t="s">
        <v>895</v>
      </c>
      <c r="E65" s="9" t="s">
        <v>896</v>
      </c>
      <c r="F65" s="9" t="s">
        <v>897</v>
      </c>
      <c r="G65" s="9" t="s">
        <v>898</v>
      </c>
      <c r="L65" s="20">
        <f>$I$23*$L$23</f>
        <v>0</v>
      </c>
      <c r="M65" s="20">
        <f>$I$23*$M$23</f>
        <v>0</v>
      </c>
      <c r="N65" s="20">
        <f>$I$23*$N$23</f>
        <v>0</v>
      </c>
      <c r="O65" s="20">
        <f>$I$23*$O$23</f>
        <v>0</v>
      </c>
      <c r="P65" s="20">
        <f>$I$23*$P$23</f>
        <v>0</v>
      </c>
      <c r="Q65" s="20">
        <f>$I$23*$Q$23</f>
        <v>475176.44098879956</v>
      </c>
      <c r="R65" s="20">
        <f>$I$23*$R$23</f>
        <v>0</v>
      </c>
      <c r="S65" s="20">
        <f>$I$23*$S$23</f>
        <v>0</v>
      </c>
      <c r="T65" s="20">
        <f>$I$23*$T$23</f>
        <v>0</v>
      </c>
      <c r="U65" s="20">
        <f>$I$23*$U$23</f>
        <v>0</v>
      </c>
      <c r="V65" s="20">
        <f>$I$23*$V$23</f>
        <v>0</v>
      </c>
      <c r="X65" s="20">
        <f>$I$23*$X$23</f>
        <v>0</v>
      </c>
      <c r="Y65" s="20">
        <f>$I$23*$Y$23</f>
        <v>0</v>
      </c>
      <c r="Z65" s="20">
        <f>$I$23*$Z$23</f>
        <v>0</v>
      </c>
      <c r="AA65" s="20">
        <f>$I$23*$AA$23</f>
        <v>0</v>
      </c>
      <c r="AB65" s="20">
        <f>$I$23*$AB$23</f>
        <v>0</v>
      </c>
      <c r="AC65" s="20">
        <f>$I$23*$AC$23</f>
        <v>477348.03748057509</v>
      </c>
      <c r="AD65" s="20">
        <f>$I$23*$AD$23</f>
        <v>0</v>
      </c>
      <c r="AE65" s="20">
        <f>$I$23*$AE$23</f>
        <v>0</v>
      </c>
      <c r="AF65" s="20">
        <f>$I$23*$AF$23</f>
        <v>0</v>
      </c>
      <c r="AG65" s="20">
        <f>$I$23*$AG$23</f>
        <v>0</v>
      </c>
      <c r="AH65" s="20">
        <f>$I$23*$AH$23</f>
        <v>0</v>
      </c>
    </row>
    <row r="66" spans="1:34" ht="11.25" customHeight="1" x14ac:dyDescent="0.25">
      <c r="A66" s="9" t="s">
        <v>40</v>
      </c>
      <c r="B66" s="9" t="s">
        <v>885</v>
      </c>
      <c r="C66" s="9" t="s">
        <v>886</v>
      </c>
      <c r="D66" s="9" t="s">
        <v>899</v>
      </c>
      <c r="E66" s="9" t="s">
        <v>900</v>
      </c>
      <c r="F66" s="9" t="s">
        <v>901</v>
      </c>
      <c r="G66" s="9" t="s">
        <v>902</v>
      </c>
      <c r="L66" s="20">
        <f>$I$24*$L$24</f>
        <v>0</v>
      </c>
      <c r="M66" s="20">
        <f>$I$24*$M$24</f>
        <v>0</v>
      </c>
      <c r="N66" s="20">
        <f>$I$24*$N$24</f>
        <v>0</v>
      </c>
      <c r="O66" s="20">
        <f>$I$24*$O$24</f>
        <v>0</v>
      </c>
      <c r="P66" s="20">
        <f>$I$24*$P$24</f>
        <v>0</v>
      </c>
      <c r="Q66" s="20">
        <f>$I$24*$Q$24</f>
        <v>0</v>
      </c>
      <c r="R66" s="20">
        <f>$I$24*$R$24</f>
        <v>0</v>
      </c>
      <c r="S66" s="20">
        <f>$I$24*$S$24</f>
        <v>0</v>
      </c>
      <c r="T66" s="20">
        <f>$I$24*$T$24</f>
        <v>0</v>
      </c>
      <c r="U66" s="20">
        <f>$I$24*$U$24</f>
        <v>0</v>
      </c>
      <c r="V66" s="20">
        <f>$I$24*$V$24</f>
        <v>0</v>
      </c>
      <c r="X66" s="20">
        <f>$I$24*$X$24</f>
        <v>0</v>
      </c>
      <c r="Y66" s="20">
        <f>$I$24*$Y$24</f>
        <v>0</v>
      </c>
      <c r="Z66" s="20">
        <f>$I$24*$Z$24</f>
        <v>0</v>
      </c>
      <c r="AA66" s="20">
        <f>$I$24*$AA$24</f>
        <v>0</v>
      </c>
      <c r="AB66" s="20">
        <f>$I$24*$AB$24</f>
        <v>0</v>
      </c>
      <c r="AC66" s="20">
        <f>$I$24*$AC$24</f>
        <v>0</v>
      </c>
      <c r="AD66" s="20">
        <f>$I$24*$AD$24</f>
        <v>0</v>
      </c>
      <c r="AE66" s="20">
        <f>$I$24*$AE$24</f>
        <v>0</v>
      </c>
      <c r="AF66" s="20">
        <f>$I$24*$AF$24</f>
        <v>0</v>
      </c>
      <c r="AG66" s="20">
        <f>$I$24*$AG$24</f>
        <v>0</v>
      </c>
      <c r="AH66" s="20">
        <f>$I$24*$AH$24</f>
        <v>0</v>
      </c>
    </row>
    <row r="67" spans="1:34" ht="11.25" customHeight="1" x14ac:dyDescent="0.25">
      <c r="A67" s="9" t="s">
        <v>40</v>
      </c>
      <c r="B67" s="9" t="s">
        <v>885</v>
      </c>
      <c r="C67" s="9" t="s">
        <v>886</v>
      </c>
      <c r="D67" s="9" t="s">
        <v>899</v>
      </c>
      <c r="E67" s="9" t="s">
        <v>900</v>
      </c>
      <c r="F67" s="9" t="s">
        <v>901</v>
      </c>
      <c r="G67" s="9" t="s">
        <v>903</v>
      </c>
      <c r="L67" s="20">
        <f>$I$25*$L$25</f>
        <v>0</v>
      </c>
      <c r="M67" s="20">
        <f>$I$25*$M$25</f>
        <v>0</v>
      </c>
      <c r="N67" s="20">
        <f>$I$25*$N$25</f>
        <v>0</v>
      </c>
      <c r="O67" s="20">
        <f>$I$25*$O$25</f>
        <v>0</v>
      </c>
      <c r="P67" s="20">
        <f>$I$25*$P$25</f>
        <v>0</v>
      </c>
      <c r="Q67" s="20">
        <f>$I$25*$Q$25</f>
        <v>0</v>
      </c>
      <c r="R67" s="20">
        <f>$I$25*$R$25</f>
        <v>0</v>
      </c>
      <c r="S67" s="20">
        <f>$I$25*$S$25</f>
        <v>0</v>
      </c>
      <c r="T67" s="20">
        <f>$I$25*$T$25</f>
        <v>0</v>
      </c>
      <c r="U67" s="20">
        <f>$I$25*$U$25</f>
        <v>0</v>
      </c>
      <c r="V67" s="20">
        <f>$I$25*$V$25</f>
        <v>0</v>
      </c>
      <c r="X67" s="20">
        <f>$I$25*$X$25</f>
        <v>0</v>
      </c>
      <c r="Y67" s="20">
        <f>$I$25*$Y$25</f>
        <v>0</v>
      </c>
      <c r="Z67" s="20">
        <f>$I$25*$Z$25</f>
        <v>0</v>
      </c>
      <c r="AA67" s="20">
        <f>$I$25*$AA$25</f>
        <v>0</v>
      </c>
      <c r="AB67" s="20">
        <f>$I$25*$AB$25</f>
        <v>0</v>
      </c>
      <c r="AC67" s="20">
        <f>$I$25*$AC$25</f>
        <v>0</v>
      </c>
      <c r="AD67" s="20">
        <f>$I$25*$AD$25</f>
        <v>0</v>
      </c>
      <c r="AE67" s="20">
        <f>$I$25*$AE$25</f>
        <v>0</v>
      </c>
      <c r="AF67" s="20">
        <f>$I$25*$AF$25</f>
        <v>0</v>
      </c>
      <c r="AG67" s="20">
        <f>$I$25*$AG$25</f>
        <v>0</v>
      </c>
      <c r="AH67" s="20">
        <f>$I$25*$AH$25</f>
        <v>0</v>
      </c>
    </row>
    <row r="68" spans="1:34" ht="11.25" customHeight="1" x14ac:dyDescent="0.25">
      <c r="A68" s="9" t="s">
        <v>40</v>
      </c>
      <c r="B68" s="9" t="s">
        <v>885</v>
      </c>
      <c r="C68" s="9" t="s">
        <v>886</v>
      </c>
      <c r="D68" s="9" t="s">
        <v>899</v>
      </c>
      <c r="E68" s="9" t="s">
        <v>900</v>
      </c>
      <c r="F68" s="9" t="s">
        <v>901</v>
      </c>
      <c r="G68" s="9" t="s">
        <v>904</v>
      </c>
      <c r="L68" s="20">
        <f>$I$26*$L$26</f>
        <v>0</v>
      </c>
      <c r="M68" s="20">
        <f>$I$26*$M$26</f>
        <v>0</v>
      </c>
      <c r="N68" s="20">
        <f>$I$26*$N$26</f>
        <v>0</v>
      </c>
      <c r="O68" s="20">
        <f>$I$26*$O$26</f>
        <v>0</v>
      </c>
      <c r="P68" s="20">
        <f>$I$26*$P$26</f>
        <v>0</v>
      </c>
      <c r="Q68" s="20">
        <f>$I$26*$Q$26</f>
        <v>0</v>
      </c>
      <c r="R68" s="20">
        <f>$I$26*$R$26</f>
        <v>0</v>
      </c>
      <c r="S68" s="20">
        <f>$I$26*$S$26</f>
        <v>0</v>
      </c>
      <c r="T68" s="20">
        <f>$I$26*$T$26</f>
        <v>0</v>
      </c>
      <c r="U68" s="20">
        <f>$I$26*$U$26</f>
        <v>0</v>
      </c>
      <c r="V68" s="20">
        <f>$I$26*$V$26</f>
        <v>0</v>
      </c>
      <c r="X68" s="20">
        <f>$I$26*$X$26</f>
        <v>0</v>
      </c>
      <c r="Y68" s="20">
        <f>$I$26*$Y$26</f>
        <v>0</v>
      </c>
      <c r="Z68" s="20">
        <f>$I$26*$Z$26</f>
        <v>0</v>
      </c>
      <c r="AA68" s="20">
        <f>$I$26*$AA$26</f>
        <v>0</v>
      </c>
      <c r="AB68" s="20">
        <f>$I$26*$AB$26</f>
        <v>0</v>
      </c>
      <c r="AC68" s="20">
        <f>$I$26*$AC$26</f>
        <v>0</v>
      </c>
      <c r="AD68" s="20">
        <f>$I$26*$AD$26</f>
        <v>0</v>
      </c>
      <c r="AE68" s="20">
        <f>$I$26*$AE$26</f>
        <v>0</v>
      </c>
      <c r="AF68" s="20">
        <f>$I$26*$AF$26</f>
        <v>0</v>
      </c>
      <c r="AG68" s="20">
        <f>$I$26*$AG$26</f>
        <v>0</v>
      </c>
      <c r="AH68" s="20">
        <f>$I$26*$AH$26</f>
        <v>0</v>
      </c>
    </row>
    <row r="69" spans="1:34" ht="11.25" customHeight="1" x14ac:dyDescent="0.25">
      <c r="A69" s="9" t="s">
        <v>40</v>
      </c>
      <c r="B69" s="9" t="s">
        <v>893</v>
      </c>
      <c r="C69" s="9" t="s">
        <v>894</v>
      </c>
      <c r="D69" s="9" t="s">
        <v>905</v>
      </c>
      <c r="E69" s="9" t="s">
        <v>906</v>
      </c>
      <c r="F69" s="9" t="s">
        <v>907</v>
      </c>
      <c r="G69" s="9" t="s">
        <v>908</v>
      </c>
      <c r="L69" s="20">
        <f>$I$27*$L$27</f>
        <v>0</v>
      </c>
      <c r="M69" s="20">
        <f>$I$27*$M$27</f>
        <v>0</v>
      </c>
      <c r="N69" s="20">
        <f>$I$27*$N$27</f>
        <v>0</v>
      </c>
      <c r="O69" s="20">
        <f>$I$27*$O$27</f>
        <v>0</v>
      </c>
      <c r="P69" s="20">
        <f>$I$27*$P$27</f>
        <v>0</v>
      </c>
      <c r="Q69" s="20">
        <f>$I$27*$Q$27</f>
        <v>0</v>
      </c>
      <c r="R69" s="20">
        <f>$I$27*$R$27</f>
        <v>0</v>
      </c>
      <c r="S69" s="20">
        <f>$I$27*$S$27</f>
        <v>0</v>
      </c>
      <c r="T69" s="20">
        <f>$I$27*$T$27</f>
        <v>0</v>
      </c>
      <c r="U69" s="20">
        <f>$I$27*$U$27</f>
        <v>0</v>
      </c>
      <c r="V69" s="20">
        <f>$I$27*$V$27</f>
        <v>0</v>
      </c>
      <c r="X69" s="20">
        <f>$I$27*$X$27</f>
        <v>0</v>
      </c>
      <c r="Y69" s="20">
        <f>$I$27*$Y$27</f>
        <v>0</v>
      </c>
      <c r="Z69" s="20">
        <f>$I$27*$Z$27</f>
        <v>0</v>
      </c>
      <c r="AA69" s="20">
        <f>$I$27*$AA$27</f>
        <v>0</v>
      </c>
      <c r="AB69" s="20">
        <f>$I$27*$AB$27</f>
        <v>0</v>
      </c>
      <c r="AC69" s="20">
        <f>$I$27*$AC$27</f>
        <v>0</v>
      </c>
      <c r="AD69" s="20">
        <f>$I$27*$AD$27</f>
        <v>0</v>
      </c>
      <c r="AE69" s="20">
        <f>$I$27*$AE$27</f>
        <v>0</v>
      </c>
      <c r="AF69" s="20">
        <f>$I$27*$AF$27</f>
        <v>0</v>
      </c>
      <c r="AG69" s="20">
        <f>$I$27*$AG$27</f>
        <v>0</v>
      </c>
      <c r="AH69" s="20">
        <f>$I$27*$AH$27</f>
        <v>0</v>
      </c>
    </row>
    <row r="70" spans="1:34" ht="11.25" customHeight="1" x14ac:dyDescent="0.25">
      <c r="A70" s="9" t="s">
        <v>40</v>
      </c>
      <c r="B70" s="9" t="s">
        <v>885</v>
      </c>
      <c r="C70" s="9" t="s">
        <v>886</v>
      </c>
      <c r="D70" s="9" t="s">
        <v>909</v>
      </c>
      <c r="E70" s="9" t="s">
        <v>910</v>
      </c>
      <c r="F70" s="9" t="s">
        <v>911</v>
      </c>
      <c r="G70" s="9" t="s">
        <v>912</v>
      </c>
      <c r="L70" s="20">
        <f>$I$28*$L$28</f>
        <v>0</v>
      </c>
      <c r="M70" s="20">
        <f>$I$28*$M$28</f>
        <v>0</v>
      </c>
      <c r="N70" s="20">
        <f>$I$28*$N$28</f>
        <v>0</v>
      </c>
      <c r="O70" s="20">
        <f>$I$28*$O$28</f>
        <v>0</v>
      </c>
      <c r="P70" s="20">
        <f>$I$28*$P$28</f>
        <v>0</v>
      </c>
      <c r="Q70" s="20">
        <f>$I$28*$Q$28</f>
        <v>0</v>
      </c>
      <c r="R70" s="20">
        <f>$I$28*$R$28</f>
        <v>0</v>
      </c>
      <c r="S70" s="20">
        <f>$I$28*$S$28</f>
        <v>0</v>
      </c>
      <c r="T70" s="20">
        <f>$I$28*$T$28</f>
        <v>0</v>
      </c>
      <c r="U70" s="20">
        <f>$I$28*$U$28</f>
        <v>0</v>
      </c>
      <c r="V70" s="20">
        <f>$I$28*$V$28</f>
        <v>0</v>
      </c>
      <c r="X70" s="20">
        <f>$I$28*$X$28</f>
        <v>0</v>
      </c>
      <c r="Y70" s="20">
        <f>$I$28*$Y$28</f>
        <v>0</v>
      </c>
      <c r="Z70" s="20">
        <f>$I$28*$Z$28</f>
        <v>0</v>
      </c>
      <c r="AA70" s="20">
        <f>$I$28*$AA$28</f>
        <v>0</v>
      </c>
      <c r="AB70" s="20">
        <f>$I$28*$AB$28</f>
        <v>0</v>
      </c>
      <c r="AC70" s="20">
        <f>$I$28*$AC$28</f>
        <v>0</v>
      </c>
      <c r="AD70" s="20">
        <f>$I$28*$AD$28</f>
        <v>0</v>
      </c>
      <c r="AE70" s="20">
        <f>$I$28*$AE$28</f>
        <v>0</v>
      </c>
      <c r="AF70" s="20">
        <f>$I$28*$AF$28</f>
        <v>0</v>
      </c>
      <c r="AG70" s="20">
        <f>$I$28*$AG$28</f>
        <v>0</v>
      </c>
      <c r="AH70" s="20">
        <f>$I$28*$AH$28</f>
        <v>0</v>
      </c>
    </row>
    <row r="71" spans="1:34" ht="11.25" customHeight="1" x14ac:dyDescent="0.25">
      <c r="A71" s="9" t="s">
        <v>40</v>
      </c>
      <c r="B71" s="9" t="s">
        <v>885</v>
      </c>
      <c r="C71" s="9" t="s">
        <v>886</v>
      </c>
      <c r="D71" s="9" t="s">
        <v>909</v>
      </c>
      <c r="E71" s="9" t="s">
        <v>910</v>
      </c>
      <c r="F71" s="9" t="s">
        <v>911</v>
      </c>
      <c r="G71" s="9" t="s">
        <v>913</v>
      </c>
      <c r="L71" s="20">
        <f>$I$29*$L$29</f>
        <v>0</v>
      </c>
      <c r="M71" s="20">
        <f>$I$29*$M$29</f>
        <v>0</v>
      </c>
      <c r="N71" s="20">
        <f>$I$29*$N$29</f>
        <v>0</v>
      </c>
      <c r="O71" s="20">
        <f>$I$29*$O$29</f>
        <v>0</v>
      </c>
      <c r="P71" s="20">
        <f>$I$29*$P$29</f>
        <v>0</v>
      </c>
      <c r="Q71" s="20">
        <f>$I$29*$Q$29</f>
        <v>0</v>
      </c>
      <c r="R71" s="20">
        <f>$I$29*$R$29</f>
        <v>0</v>
      </c>
      <c r="S71" s="20">
        <f>$I$29*$S$29</f>
        <v>0</v>
      </c>
      <c r="T71" s="20">
        <f>$I$29*$T$29</f>
        <v>0</v>
      </c>
      <c r="U71" s="20">
        <f>$I$29*$U$29</f>
        <v>0</v>
      </c>
      <c r="V71" s="20">
        <f>$I$29*$V$29</f>
        <v>0</v>
      </c>
      <c r="X71" s="20">
        <f>$I$29*$X$29</f>
        <v>0</v>
      </c>
      <c r="Y71" s="20">
        <f>$I$29*$Y$29</f>
        <v>0</v>
      </c>
      <c r="Z71" s="20">
        <f>$I$29*$Z$29</f>
        <v>0</v>
      </c>
      <c r="AA71" s="20">
        <f>$I$29*$AA$29</f>
        <v>0</v>
      </c>
      <c r="AB71" s="20">
        <f>$I$29*$AB$29</f>
        <v>0</v>
      </c>
      <c r="AC71" s="20">
        <f>$I$29*$AC$29</f>
        <v>0</v>
      </c>
      <c r="AD71" s="20">
        <f>$I$29*$AD$29</f>
        <v>0</v>
      </c>
      <c r="AE71" s="20">
        <f>$I$29*$AE$29</f>
        <v>0</v>
      </c>
      <c r="AF71" s="20">
        <f>$I$29*$AF$29</f>
        <v>0</v>
      </c>
      <c r="AG71" s="20">
        <f>$I$29*$AG$29</f>
        <v>0</v>
      </c>
      <c r="AH71" s="20">
        <f>$I$29*$AH$29</f>
        <v>0</v>
      </c>
    </row>
    <row r="72" spans="1:34" ht="11.25" customHeight="1" x14ac:dyDescent="0.25">
      <c r="A72" s="9" t="s">
        <v>40</v>
      </c>
      <c r="B72" s="9" t="s">
        <v>885</v>
      </c>
      <c r="C72" s="9" t="s">
        <v>886</v>
      </c>
      <c r="D72" s="9" t="s">
        <v>909</v>
      </c>
      <c r="E72" s="9" t="s">
        <v>910</v>
      </c>
      <c r="F72" s="9" t="s">
        <v>911</v>
      </c>
      <c r="G72" s="9" t="s">
        <v>914</v>
      </c>
      <c r="L72" s="20">
        <f>$I$30*$L$30</f>
        <v>0</v>
      </c>
      <c r="M72" s="20">
        <f>$I$30*$M$30</f>
        <v>0</v>
      </c>
      <c r="N72" s="20">
        <f>$I$30*$N$30</f>
        <v>0</v>
      </c>
      <c r="O72" s="20">
        <f>$I$30*$O$30</f>
        <v>0</v>
      </c>
      <c r="P72" s="20">
        <f>$I$30*$P$30</f>
        <v>0</v>
      </c>
      <c r="Q72" s="20">
        <f>$I$30*$Q$30</f>
        <v>0</v>
      </c>
      <c r="R72" s="20">
        <f>$I$30*$R$30</f>
        <v>0</v>
      </c>
      <c r="S72" s="20">
        <f>$I$30*$S$30</f>
        <v>0</v>
      </c>
      <c r="T72" s="20">
        <f>$I$30*$T$30</f>
        <v>0</v>
      </c>
      <c r="U72" s="20">
        <f>$I$30*$U$30</f>
        <v>0</v>
      </c>
      <c r="V72" s="20">
        <f>$I$30*$V$30</f>
        <v>0</v>
      </c>
      <c r="X72" s="20">
        <f>$I$30*$X$30</f>
        <v>0</v>
      </c>
      <c r="Y72" s="20">
        <f>$I$30*$Y$30</f>
        <v>0</v>
      </c>
      <c r="Z72" s="20">
        <f>$I$30*$Z$30</f>
        <v>0</v>
      </c>
      <c r="AA72" s="20">
        <f>$I$30*$AA$30</f>
        <v>0</v>
      </c>
      <c r="AB72" s="20">
        <f>$I$30*$AB$30</f>
        <v>0</v>
      </c>
      <c r="AC72" s="20">
        <f>$I$30*$AC$30</f>
        <v>0</v>
      </c>
      <c r="AD72" s="20">
        <f>$I$30*$AD$30</f>
        <v>0</v>
      </c>
      <c r="AE72" s="20">
        <f>$I$30*$AE$30</f>
        <v>0</v>
      </c>
      <c r="AF72" s="20">
        <f>$I$30*$AF$30</f>
        <v>0</v>
      </c>
      <c r="AG72" s="20">
        <f>$I$30*$AG$30</f>
        <v>0</v>
      </c>
      <c r="AH72" s="20">
        <f>$I$30*$AH$30</f>
        <v>0</v>
      </c>
    </row>
    <row r="73" spans="1:34" ht="11.25" customHeight="1" x14ac:dyDescent="0.25">
      <c r="A73" s="9" t="s">
        <v>40</v>
      </c>
      <c r="B73" s="9" t="s">
        <v>893</v>
      </c>
      <c r="C73" s="9" t="s">
        <v>894</v>
      </c>
      <c r="D73" s="9" t="s">
        <v>915</v>
      </c>
      <c r="E73" s="9" t="s">
        <v>916</v>
      </c>
      <c r="F73" s="9" t="s">
        <v>917</v>
      </c>
      <c r="G73" s="9" t="s">
        <v>918</v>
      </c>
      <c r="L73" s="20">
        <f>$I$31*$L$31</f>
        <v>0</v>
      </c>
      <c r="M73" s="20">
        <f>$I$31*$M$31</f>
        <v>0</v>
      </c>
      <c r="N73" s="20">
        <f>$I$31*$N$31</f>
        <v>0</v>
      </c>
      <c r="O73" s="20">
        <f>$I$31*$O$31</f>
        <v>0</v>
      </c>
      <c r="P73" s="20">
        <f>$I$31*$P$31</f>
        <v>0</v>
      </c>
      <c r="Q73" s="20">
        <f>$I$31*$Q$31</f>
        <v>0</v>
      </c>
      <c r="R73" s="20">
        <f>$I$31*$R$31</f>
        <v>0</v>
      </c>
      <c r="S73" s="20">
        <f>$I$31*$S$31</f>
        <v>0</v>
      </c>
      <c r="T73" s="20">
        <f>$I$31*$T$31</f>
        <v>0</v>
      </c>
      <c r="U73" s="20">
        <f>$I$31*$U$31</f>
        <v>0</v>
      </c>
      <c r="V73" s="20">
        <f>$I$31*$V$31</f>
        <v>0</v>
      </c>
      <c r="X73" s="20">
        <f>$I$31*$X$31</f>
        <v>0</v>
      </c>
      <c r="Y73" s="20">
        <f>$I$31*$Y$31</f>
        <v>0</v>
      </c>
      <c r="Z73" s="20">
        <f>$I$31*$Z$31</f>
        <v>0</v>
      </c>
      <c r="AA73" s="20">
        <f>$I$31*$AA$31</f>
        <v>0</v>
      </c>
      <c r="AB73" s="20">
        <f>$I$31*$AB$31</f>
        <v>0</v>
      </c>
      <c r="AC73" s="20">
        <f>$I$31*$AC$31</f>
        <v>0</v>
      </c>
      <c r="AD73" s="20">
        <f>$I$31*$AD$31</f>
        <v>0</v>
      </c>
      <c r="AE73" s="20">
        <f>$I$31*$AE$31</f>
        <v>0</v>
      </c>
      <c r="AF73" s="20">
        <f>$I$31*$AF$31</f>
        <v>0</v>
      </c>
      <c r="AG73" s="20">
        <f>$I$31*$AG$31</f>
        <v>0</v>
      </c>
      <c r="AH73" s="20">
        <f>$I$31*$AH$31</f>
        <v>0</v>
      </c>
    </row>
    <row r="74" spans="1:34" ht="11.25" customHeight="1" x14ac:dyDescent="0.25">
      <c r="A74" s="9" t="s">
        <v>40</v>
      </c>
      <c r="B74" s="9" t="s">
        <v>919</v>
      </c>
      <c r="C74" s="9" t="s">
        <v>920</v>
      </c>
      <c r="D74" s="9" t="s">
        <v>921</v>
      </c>
      <c r="E74" s="9" t="s">
        <v>922</v>
      </c>
      <c r="F74" s="9" t="s">
        <v>923</v>
      </c>
      <c r="G74" s="9" t="s">
        <v>924</v>
      </c>
      <c r="L74" s="20">
        <f>$I$32*$L$32</f>
        <v>0</v>
      </c>
      <c r="M74" s="20">
        <f>$I$32*$M$32</f>
        <v>0</v>
      </c>
      <c r="N74" s="20">
        <f>$I$32*$N$32</f>
        <v>0</v>
      </c>
      <c r="O74" s="20">
        <f>$I$32*$O$32</f>
        <v>0</v>
      </c>
      <c r="P74" s="20">
        <f>$I$32*$P$32</f>
        <v>0</v>
      </c>
      <c r="Q74" s="20">
        <f>$I$32*$Q$32</f>
        <v>0</v>
      </c>
      <c r="R74" s="20">
        <f>$I$32*$R$32</f>
        <v>0</v>
      </c>
      <c r="S74" s="20">
        <f>$I$32*$S$32</f>
        <v>0</v>
      </c>
      <c r="T74" s="20">
        <f>$I$32*$T$32</f>
        <v>0</v>
      </c>
      <c r="U74" s="20">
        <f>$I$32*$U$32</f>
        <v>0</v>
      </c>
      <c r="V74" s="20">
        <f>$I$32*$V$32</f>
        <v>0</v>
      </c>
      <c r="X74" s="20">
        <f>$I$32*$X$32</f>
        <v>0</v>
      </c>
      <c r="Y74" s="20">
        <f>$I$32*$Y$32</f>
        <v>0</v>
      </c>
      <c r="Z74" s="20">
        <f>$I$32*$Z$32</f>
        <v>0</v>
      </c>
      <c r="AA74" s="20">
        <f>$I$32*$AA$32</f>
        <v>0</v>
      </c>
      <c r="AB74" s="20">
        <f>$I$32*$AB$32</f>
        <v>0</v>
      </c>
      <c r="AC74" s="20">
        <f>$I$32*$AC$32</f>
        <v>0</v>
      </c>
      <c r="AD74" s="20">
        <f>$I$32*$AD$32</f>
        <v>0</v>
      </c>
      <c r="AE74" s="20">
        <f>$I$32*$AE$32</f>
        <v>0</v>
      </c>
      <c r="AF74" s="20">
        <f>$I$32*$AF$32</f>
        <v>0</v>
      </c>
      <c r="AG74" s="20">
        <f>$I$32*$AG$32</f>
        <v>0</v>
      </c>
      <c r="AH74" s="20">
        <f>$I$32*$AH$32</f>
        <v>0</v>
      </c>
    </row>
    <row r="75" spans="1:34" ht="11.25" customHeight="1" x14ac:dyDescent="0.25">
      <c r="A75" s="9" t="s">
        <v>40</v>
      </c>
      <c r="B75" s="9" t="s">
        <v>919</v>
      </c>
      <c r="C75" s="9" t="s">
        <v>920</v>
      </c>
      <c r="D75" s="9" t="s">
        <v>925</v>
      </c>
      <c r="E75" s="9" t="s">
        <v>926</v>
      </c>
      <c r="F75" s="9" t="s">
        <v>927</v>
      </c>
      <c r="G75" s="9" t="s">
        <v>928</v>
      </c>
      <c r="L75" s="20">
        <f>$I$33*$L$33</f>
        <v>0</v>
      </c>
      <c r="M75" s="20">
        <f>$I$33*$M$33</f>
        <v>0</v>
      </c>
      <c r="N75" s="20">
        <f>$I$33*$N$33</f>
        <v>0</v>
      </c>
      <c r="O75" s="20">
        <f>$I$33*$O$33</f>
        <v>0</v>
      </c>
      <c r="P75" s="20">
        <f>$I$33*$P$33</f>
        <v>0</v>
      </c>
      <c r="Q75" s="20">
        <f>$I$33*$Q$33</f>
        <v>0</v>
      </c>
      <c r="R75" s="20">
        <f>$I$33*$R$33</f>
        <v>0</v>
      </c>
      <c r="S75" s="20">
        <f>$I$33*$S$33</f>
        <v>0</v>
      </c>
      <c r="T75" s="20">
        <f>$I$33*$T$33</f>
        <v>0</v>
      </c>
      <c r="U75" s="20">
        <f>$I$33*$U$33</f>
        <v>0</v>
      </c>
      <c r="V75" s="20">
        <f>$I$33*$V$33</f>
        <v>0</v>
      </c>
      <c r="X75" s="20">
        <f>$I$33*$X$33</f>
        <v>0</v>
      </c>
      <c r="Y75" s="20">
        <f>$I$33*$Y$33</f>
        <v>0</v>
      </c>
      <c r="Z75" s="20">
        <f>$I$33*$Z$33</f>
        <v>0</v>
      </c>
      <c r="AA75" s="20">
        <f>$I$33*$AA$33</f>
        <v>0</v>
      </c>
      <c r="AB75" s="20">
        <f>$I$33*$AB$33</f>
        <v>0</v>
      </c>
      <c r="AC75" s="20">
        <f>$I$33*$AC$33</f>
        <v>0</v>
      </c>
      <c r="AD75" s="20">
        <f>$I$33*$AD$33</f>
        <v>0</v>
      </c>
      <c r="AE75" s="20">
        <f>$I$33*$AE$33</f>
        <v>0</v>
      </c>
      <c r="AF75" s="20">
        <f>$I$33*$AF$33</f>
        <v>0</v>
      </c>
      <c r="AG75" s="20">
        <f>$I$33*$AG$33</f>
        <v>0</v>
      </c>
      <c r="AH75" s="20">
        <f>$I$33*$AH$33</f>
        <v>0</v>
      </c>
    </row>
    <row r="76" spans="1:34" ht="11.25" customHeight="1" x14ac:dyDescent="0.25">
      <c r="A76" s="9" t="s">
        <v>40</v>
      </c>
      <c r="B76" s="9" t="s">
        <v>919</v>
      </c>
      <c r="C76" s="9" t="s">
        <v>920</v>
      </c>
      <c r="D76" s="9" t="s">
        <v>929</v>
      </c>
      <c r="E76" s="9" t="s">
        <v>930</v>
      </c>
      <c r="F76" s="9" t="s">
        <v>931</v>
      </c>
      <c r="G76" s="9" t="s">
        <v>932</v>
      </c>
      <c r="L76" s="20">
        <f>$I$34*$L$34</f>
        <v>0</v>
      </c>
      <c r="M76" s="20">
        <f>$I$34*$M$34</f>
        <v>0</v>
      </c>
      <c r="N76" s="20">
        <f>$I$34*$N$34</f>
        <v>0</v>
      </c>
      <c r="O76" s="20">
        <f>$I$34*$O$34</f>
        <v>0</v>
      </c>
      <c r="P76" s="20">
        <f>$I$34*$P$34</f>
        <v>0</v>
      </c>
      <c r="Q76" s="20">
        <f>$I$34*$Q$34</f>
        <v>0</v>
      </c>
      <c r="R76" s="20">
        <f>$I$34*$R$34</f>
        <v>0</v>
      </c>
      <c r="S76" s="20">
        <f>$I$34*$S$34</f>
        <v>0</v>
      </c>
      <c r="T76" s="20">
        <f>$I$34*$T$34</f>
        <v>0</v>
      </c>
      <c r="U76" s="20">
        <f>$I$34*$U$34</f>
        <v>0</v>
      </c>
      <c r="V76" s="20">
        <f>$I$34*$V$34</f>
        <v>0</v>
      </c>
      <c r="X76" s="20">
        <f>$I$34*$X$34</f>
        <v>0</v>
      </c>
      <c r="Y76" s="20">
        <f>$I$34*$Y$34</f>
        <v>0</v>
      </c>
      <c r="Z76" s="20">
        <f>$I$34*$Z$34</f>
        <v>0</v>
      </c>
      <c r="AA76" s="20">
        <f>$I$34*$AA$34</f>
        <v>0</v>
      </c>
      <c r="AB76" s="20">
        <f>$I$34*$AB$34</f>
        <v>0</v>
      </c>
      <c r="AC76" s="20">
        <f>$I$34*$AC$34</f>
        <v>0</v>
      </c>
      <c r="AD76" s="20">
        <f>$I$34*$AD$34</f>
        <v>0</v>
      </c>
      <c r="AE76" s="20">
        <f>$I$34*$AE$34</f>
        <v>0</v>
      </c>
      <c r="AF76" s="20">
        <f>$I$34*$AF$34</f>
        <v>0</v>
      </c>
      <c r="AG76" s="20">
        <f>$I$34*$AG$34</f>
        <v>0</v>
      </c>
      <c r="AH76" s="20">
        <f>$I$34*$AH$34</f>
        <v>0</v>
      </c>
    </row>
    <row r="77" spans="1:34" ht="11.25" customHeight="1" x14ac:dyDescent="0.25">
      <c r="A77" s="9" t="s">
        <v>33</v>
      </c>
      <c r="B77" s="9" t="s">
        <v>933</v>
      </c>
      <c r="C77" s="9" t="s">
        <v>934</v>
      </c>
      <c r="D77" s="9" t="s">
        <v>935</v>
      </c>
      <c r="E77" s="9" t="s">
        <v>936</v>
      </c>
      <c r="F77" s="9" t="s">
        <v>937</v>
      </c>
      <c r="G77" s="9" t="s">
        <v>938</v>
      </c>
      <c r="L77" s="20">
        <f>$I$35*$L$35</f>
        <v>0</v>
      </c>
      <c r="M77" s="20">
        <f>$I$35*$M$35</f>
        <v>0</v>
      </c>
      <c r="N77" s="20">
        <f>$I$35*$N$35</f>
        <v>0</v>
      </c>
      <c r="O77" s="20">
        <f>$I$35*$O$35</f>
        <v>0</v>
      </c>
      <c r="P77" s="20">
        <f>$I$35*$P$35</f>
        <v>0</v>
      </c>
      <c r="Q77" s="20">
        <f>$I$35*$Q$35</f>
        <v>0</v>
      </c>
      <c r="R77" s="20">
        <f>$I$35*$R$35</f>
        <v>0</v>
      </c>
      <c r="S77" s="20">
        <f>$I$35*$S$35</f>
        <v>0</v>
      </c>
      <c r="T77" s="20">
        <f>$I$35*$T$35</f>
        <v>0</v>
      </c>
      <c r="U77" s="20">
        <f>$I$35*$U$35</f>
        <v>0</v>
      </c>
      <c r="V77" s="20">
        <f>$I$35*$V$35</f>
        <v>0</v>
      </c>
      <c r="X77" s="20">
        <f>$I$35*$X$35</f>
        <v>0</v>
      </c>
      <c r="Y77" s="20">
        <f>$I$35*$Y$35</f>
        <v>0</v>
      </c>
      <c r="Z77" s="20">
        <f>$I$35*$Z$35</f>
        <v>0</v>
      </c>
      <c r="AA77" s="20">
        <f>$I$35*$AA$35</f>
        <v>0</v>
      </c>
      <c r="AB77" s="20">
        <f>$I$35*$AB$35</f>
        <v>0</v>
      </c>
      <c r="AC77" s="20">
        <f>$I$35*$AC$35</f>
        <v>0</v>
      </c>
      <c r="AD77" s="20">
        <f>$I$35*$AD$35</f>
        <v>0</v>
      </c>
      <c r="AE77" s="20">
        <f>$I$35*$AE$35</f>
        <v>0</v>
      </c>
      <c r="AF77" s="20">
        <f>$I$35*$AF$35</f>
        <v>0</v>
      </c>
      <c r="AG77" s="20">
        <f>$I$35*$AG$35</f>
        <v>0</v>
      </c>
      <c r="AH77" s="20">
        <f>$I$35*$AH$35</f>
        <v>0</v>
      </c>
    </row>
    <row r="78" spans="1:34" ht="11.25" customHeight="1" x14ac:dyDescent="0.25">
      <c r="A78" s="9" t="s">
        <v>33</v>
      </c>
      <c r="B78" s="9" t="s">
        <v>933</v>
      </c>
      <c r="C78" s="9" t="s">
        <v>934</v>
      </c>
      <c r="D78" s="9" t="s">
        <v>935</v>
      </c>
      <c r="E78" s="9" t="s">
        <v>936</v>
      </c>
      <c r="F78" s="9" t="s">
        <v>937</v>
      </c>
      <c r="G78" s="9" t="s">
        <v>939</v>
      </c>
      <c r="L78" s="20">
        <f>$I$36*$L$36</f>
        <v>0</v>
      </c>
      <c r="M78" s="20">
        <f>$I$36*$M$36</f>
        <v>0</v>
      </c>
      <c r="N78" s="20">
        <f>$I$36*$N$36</f>
        <v>0</v>
      </c>
      <c r="O78" s="20">
        <f>$I$36*$O$36</f>
        <v>0</v>
      </c>
      <c r="P78" s="20">
        <f>$I$36*$P$36</f>
        <v>0</v>
      </c>
      <c r="Q78" s="20">
        <f>$I$36*$Q$36</f>
        <v>0</v>
      </c>
      <c r="R78" s="20">
        <f>$I$36*$R$36</f>
        <v>0</v>
      </c>
      <c r="S78" s="20">
        <f>$I$36*$S$36</f>
        <v>0</v>
      </c>
      <c r="T78" s="20">
        <f>$I$36*$T$36</f>
        <v>0</v>
      </c>
      <c r="U78" s="20">
        <f>$I$36*$U$36</f>
        <v>0</v>
      </c>
      <c r="V78" s="20">
        <f>$I$36*$V$36</f>
        <v>0</v>
      </c>
      <c r="X78" s="20">
        <f>$I$36*$X$36</f>
        <v>0</v>
      </c>
      <c r="Y78" s="20">
        <f>$I$36*$Y$36</f>
        <v>0</v>
      </c>
      <c r="Z78" s="20">
        <f>$I$36*$Z$36</f>
        <v>0</v>
      </c>
      <c r="AA78" s="20">
        <f>$I$36*$AA$36</f>
        <v>0</v>
      </c>
      <c r="AB78" s="20">
        <f>$I$36*$AB$36</f>
        <v>0</v>
      </c>
      <c r="AC78" s="20">
        <f>$I$36*$AC$36</f>
        <v>0</v>
      </c>
      <c r="AD78" s="20">
        <f>$I$36*$AD$36</f>
        <v>0</v>
      </c>
      <c r="AE78" s="20">
        <f>$I$36*$AE$36</f>
        <v>0</v>
      </c>
      <c r="AF78" s="20">
        <f>$I$36*$AF$36</f>
        <v>0</v>
      </c>
      <c r="AG78" s="20">
        <f>$I$36*$AG$36</f>
        <v>0</v>
      </c>
      <c r="AH78" s="20">
        <f>$I$36*$AH$36</f>
        <v>0</v>
      </c>
    </row>
    <row r="79" spans="1:34" ht="11.25" customHeight="1" x14ac:dyDescent="0.25">
      <c r="A79" s="9" t="s">
        <v>33</v>
      </c>
      <c r="B79" s="9" t="s">
        <v>933</v>
      </c>
      <c r="C79" s="9" t="s">
        <v>934</v>
      </c>
      <c r="D79" s="9" t="s">
        <v>935</v>
      </c>
      <c r="E79" s="9" t="s">
        <v>936</v>
      </c>
      <c r="F79" s="9" t="s">
        <v>937</v>
      </c>
      <c r="G79" s="9" t="s">
        <v>940</v>
      </c>
      <c r="L79" s="20">
        <f>$I$37*$L$37</f>
        <v>0</v>
      </c>
      <c r="M79" s="20">
        <f>$I$37*$M$37</f>
        <v>0</v>
      </c>
      <c r="N79" s="20">
        <f>$I$37*$N$37</f>
        <v>0</v>
      </c>
      <c r="O79" s="20">
        <f>$I$37*$O$37</f>
        <v>0</v>
      </c>
      <c r="P79" s="20">
        <f>$I$37*$P$37</f>
        <v>0</v>
      </c>
      <c r="Q79" s="20">
        <f>$I$37*$Q$37</f>
        <v>0</v>
      </c>
      <c r="R79" s="20">
        <f>$I$37*$R$37</f>
        <v>0</v>
      </c>
      <c r="S79" s="20">
        <f>$I$37*$S$37</f>
        <v>0</v>
      </c>
      <c r="T79" s="20">
        <f>$I$37*$T$37</f>
        <v>0</v>
      </c>
      <c r="U79" s="20">
        <f>$I$37*$U$37</f>
        <v>0</v>
      </c>
      <c r="V79" s="20">
        <f>$I$37*$V$37</f>
        <v>0</v>
      </c>
      <c r="X79" s="20">
        <f>$I$37*$X$37</f>
        <v>0</v>
      </c>
      <c r="Y79" s="20">
        <f>$I$37*$Y$37</f>
        <v>0</v>
      </c>
      <c r="Z79" s="20">
        <f>$I$37*$Z$37</f>
        <v>0</v>
      </c>
      <c r="AA79" s="20">
        <f>$I$37*$AA$37</f>
        <v>0</v>
      </c>
      <c r="AB79" s="20">
        <f>$I$37*$AB$37</f>
        <v>0</v>
      </c>
      <c r="AC79" s="20">
        <f>$I$37*$AC$37</f>
        <v>0</v>
      </c>
      <c r="AD79" s="20">
        <f>$I$37*$AD$37</f>
        <v>0</v>
      </c>
      <c r="AE79" s="20">
        <f>$I$37*$AE$37</f>
        <v>0</v>
      </c>
      <c r="AF79" s="20">
        <f>$I$37*$AF$37</f>
        <v>0</v>
      </c>
      <c r="AG79" s="20">
        <f>$I$37*$AG$37</f>
        <v>0</v>
      </c>
      <c r="AH79" s="20">
        <f>$I$37*$AH$37</f>
        <v>0</v>
      </c>
    </row>
    <row r="80" spans="1:34" ht="11.25" customHeight="1" x14ac:dyDescent="0.25">
      <c r="A80" s="9" t="s">
        <v>33</v>
      </c>
      <c r="B80" s="9" t="s">
        <v>941</v>
      </c>
      <c r="C80" s="9" t="s">
        <v>942</v>
      </c>
      <c r="D80" s="9" t="s">
        <v>943</v>
      </c>
      <c r="E80" s="9" t="s">
        <v>944</v>
      </c>
      <c r="F80" s="9" t="s">
        <v>945</v>
      </c>
      <c r="G80" s="9" t="s">
        <v>946</v>
      </c>
      <c r="L80" s="20">
        <f>$I$38*$L$38</f>
        <v>0</v>
      </c>
      <c r="M80" s="20">
        <f>$I$38*$M$38</f>
        <v>0</v>
      </c>
      <c r="N80" s="20">
        <f>$I$38*$N$38</f>
        <v>0</v>
      </c>
      <c r="O80" s="20">
        <f>$I$38*$O$38</f>
        <v>0</v>
      </c>
      <c r="P80" s="20">
        <f>$I$38*$P$38</f>
        <v>0</v>
      </c>
      <c r="Q80" s="20">
        <f>$I$38*$Q$38</f>
        <v>725307.69516373717</v>
      </c>
      <c r="R80" s="20">
        <f>$I$38*$R$38</f>
        <v>0</v>
      </c>
      <c r="S80" s="20">
        <f>$I$38*$S$38</f>
        <v>0</v>
      </c>
      <c r="T80" s="20">
        <f>$I$38*$T$38</f>
        <v>0</v>
      </c>
      <c r="U80" s="20">
        <f>$I$38*$U$38</f>
        <v>0</v>
      </c>
      <c r="V80" s="20">
        <f>$I$38*$V$38</f>
        <v>0</v>
      </c>
      <c r="X80" s="20">
        <f>$I$38*$X$38</f>
        <v>0</v>
      </c>
      <c r="Y80" s="20">
        <f>$I$38*$Y$38</f>
        <v>0</v>
      </c>
      <c r="Z80" s="20">
        <f>$I$38*$Z$38</f>
        <v>0</v>
      </c>
      <c r="AA80" s="20">
        <f>$I$38*$AA$38</f>
        <v>0</v>
      </c>
      <c r="AB80" s="20">
        <f>$I$38*$AB$38</f>
        <v>0</v>
      </c>
      <c r="AC80" s="20">
        <f>$I$38*$AC$38</f>
        <v>778301.2134861307</v>
      </c>
      <c r="AD80" s="20">
        <f>$I$38*$AD$38</f>
        <v>0</v>
      </c>
      <c r="AE80" s="20">
        <f>$I$38*$AE$38</f>
        <v>0</v>
      </c>
      <c r="AF80" s="20">
        <f>$I$38*$AF$38</f>
        <v>0</v>
      </c>
      <c r="AG80" s="20">
        <f>$I$38*$AG$38</f>
        <v>0</v>
      </c>
      <c r="AH80" s="20">
        <f>$I$38*$AH$38</f>
        <v>0</v>
      </c>
    </row>
    <row r="81" spans="1:34" ht="11.25" customHeight="1" x14ac:dyDescent="0.25">
      <c r="A81" s="9" t="s">
        <v>33</v>
      </c>
      <c r="B81" s="9" t="s">
        <v>947</v>
      </c>
      <c r="C81" s="9" t="s">
        <v>948</v>
      </c>
      <c r="D81" s="9" t="s">
        <v>949</v>
      </c>
      <c r="E81" s="9" t="s">
        <v>950</v>
      </c>
      <c r="F81" s="9" t="s">
        <v>951</v>
      </c>
      <c r="G81" s="9" t="s">
        <v>952</v>
      </c>
      <c r="L81" s="20">
        <f>$I$39*$L$39</f>
        <v>0</v>
      </c>
      <c r="M81" s="20">
        <f>$I$39*$M$39</f>
        <v>0</v>
      </c>
      <c r="N81" s="20">
        <f>$I$39*$N$39</f>
        <v>0</v>
      </c>
      <c r="O81" s="20">
        <f>$I$39*$O$39</f>
        <v>0</v>
      </c>
      <c r="P81" s="20">
        <f>$I$39*$P$39</f>
        <v>0</v>
      </c>
      <c r="Q81" s="20">
        <f>$I$39*$Q$39</f>
        <v>0</v>
      </c>
      <c r="R81" s="20">
        <f>$I$39*$R$39</f>
        <v>0</v>
      </c>
      <c r="S81" s="20">
        <f>$I$39*$S$39</f>
        <v>0</v>
      </c>
      <c r="T81" s="20">
        <f>$I$39*$T$39</f>
        <v>0</v>
      </c>
      <c r="U81" s="20">
        <f>$I$39*$U$39</f>
        <v>0</v>
      </c>
      <c r="V81" s="20">
        <f>$I$39*$V$39</f>
        <v>0</v>
      </c>
      <c r="X81" s="20">
        <f>$I$39*$X$39</f>
        <v>0</v>
      </c>
      <c r="Y81" s="20">
        <f>$I$39*$Y$39</f>
        <v>0</v>
      </c>
      <c r="Z81" s="20">
        <f>$I$39*$Z$39</f>
        <v>0</v>
      </c>
      <c r="AA81" s="20">
        <f>$I$39*$AA$39</f>
        <v>0</v>
      </c>
      <c r="AB81" s="20">
        <f>$I$39*$AB$39</f>
        <v>0</v>
      </c>
      <c r="AC81" s="20">
        <f>$I$39*$AC$39</f>
        <v>0</v>
      </c>
      <c r="AD81" s="20">
        <f>$I$39*$AD$39</f>
        <v>0</v>
      </c>
      <c r="AE81" s="20">
        <f>$I$39*$AE$39</f>
        <v>0</v>
      </c>
      <c r="AF81" s="20">
        <f>$I$39*$AF$39</f>
        <v>0</v>
      </c>
      <c r="AG81" s="20">
        <f>$I$39*$AG$39</f>
        <v>0</v>
      </c>
      <c r="AH81" s="20">
        <f>$I$39*$AH$39</f>
        <v>0</v>
      </c>
    </row>
    <row r="82" spans="1:34" ht="11.25" customHeight="1" x14ac:dyDescent="0.25">
      <c r="A82" s="9" t="s">
        <v>43</v>
      </c>
      <c r="B82" s="9" t="s">
        <v>953</v>
      </c>
      <c r="C82" s="9" t="s">
        <v>954</v>
      </c>
      <c r="D82" s="9" t="s">
        <v>955</v>
      </c>
      <c r="E82" s="9" t="s">
        <v>956</v>
      </c>
      <c r="F82" s="9" t="s">
        <v>957</v>
      </c>
      <c r="G82" s="9" t="s">
        <v>958</v>
      </c>
      <c r="L82" s="20">
        <f>$I$40*$L$40</f>
        <v>0</v>
      </c>
      <c r="M82" s="20">
        <f>$I$40*$M$40</f>
        <v>0</v>
      </c>
      <c r="N82" s="20">
        <f>$I$40*$N$40</f>
        <v>0</v>
      </c>
      <c r="O82" s="20">
        <f>$I$40*$O$40</f>
        <v>0</v>
      </c>
      <c r="P82" s="20">
        <f>$I$40*$P$40</f>
        <v>0</v>
      </c>
      <c r="Q82" s="20">
        <f>$I$40*$Q$40</f>
        <v>165524.9272697476</v>
      </c>
      <c r="R82" s="20">
        <f>$I$40*$R$40</f>
        <v>0</v>
      </c>
      <c r="S82" s="20">
        <f>$I$40*$S$40</f>
        <v>0</v>
      </c>
      <c r="T82" s="20">
        <f>$I$40*$T$40</f>
        <v>0</v>
      </c>
      <c r="U82" s="20">
        <f>$I$40*$U$40</f>
        <v>0</v>
      </c>
      <c r="V82" s="20">
        <f>$I$40*$V$40</f>
        <v>0</v>
      </c>
      <c r="X82" s="20">
        <f>$I$40*$X$40</f>
        <v>0</v>
      </c>
      <c r="Y82" s="20">
        <f>$I$40*$Y$40</f>
        <v>0</v>
      </c>
      <c r="Z82" s="20">
        <f>$I$40*$Z$40</f>
        <v>0</v>
      </c>
      <c r="AA82" s="20">
        <f>$I$40*$AA$40</f>
        <v>0</v>
      </c>
      <c r="AB82" s="20">
        <f>$I$40*$AB$40</f>
        <v>0</v>
      </c>
      <c r="AC82" s="20">
        <f>$I$40*$AC$40</f>
        <v>177618.75768761194</v>
      </c>
      <c r="AD82" s="20">
        <f>$I$40*$AD$40</f>
        <v>0</v>
      </c>
      <c r="AE82" s="20">
        <f>$I$40*$AE$40</f>
        <v>0</v>
      </c>
      <c r="AF82" s="20">
        <f>$I$40*$AF$40</f>
        <v>0</v>
      </c>
      <c r="AG82" s="20">
        <f>$I$40*$AG$40</f>
        <v>0</v>
      </c>
      <c r="AH82" s="20">
        <f>$I$40*$AH$40</f>
        <v>0</v>
      </c>
    </row>
    <row r="83" spans="1:34" ht="11.25" customHeight="1" x14ac:dyDescent="0.25">
      <c r="A83" s="9" t="s">
        <v>43</v>
      </c>
      <c r="B83" s="9" t="s">
        <v>953</v>
      </c>
      <c r="C83" s="9" t="s">
        <v>954</v>
      </c>
      <c r="D83" s="9" t="s">
        <v>959</v>
      </c>
      <c r="E83" s="9" t="s">
        <v>960</v>
      </c>
      <c r="F83" s="9" t="s">
        <v>961</v>
      </c>
      <c r="G83" s="9" t="s">
        <v>962</v>
      </c>
      <c r="L83" s="20">
        <f>$I$41*$L$41</f>
        <v>0</v>
      </c>
      <c r="M83" s="20">
        <f>$I$41*$M$41</f>
        <v>0</v>
      </c>
      <c r="N83" s="20">
        <f>$I$41*$N$41</f>
        <v>0</v>
      </c>
      <c r="O83" s="20">
        <f>$I$41*$O$41</f>
        <v>0</v>
      </c>
      <c r="P83" s="20">
        <f>$I$41*$P$41</f>
        <v>0</v>
      </c>
      <c r="Q83" s="20">
        <f>$I$41*$Q$41</f>
        <v>134.22007348268141</v>
      </c>
      <c r="R83" s="20">
        <f>$I$41*$R$41</f>
        <v>0</v>
      </c>
      <c r="S83" s="20">
        <f>$I$41*$S$41</f>
        <v>0</v>
      </c>
      <c r="T83" s="20">
        <f>$I$41*$T$41</f>
        <v>0</v>
      </c>
      <c r="U83" s="20">
        <f>$I$41*$U$41</f>
        <v>0</v>
      </c>
      <c r="V83" s="20">
        <f>$I$41*$V$41</f>
        <v>0</v>
      </c>
      <c r="X83" s="20">
        <f>$I$41*$X$41</f>
        <v>0</v>
      </c>
      <c r="Y83" s="20">
        <f>$I$41*$Y$41</f>
        <v>0</v>
      </c>
      <c r="Z83" s="20">
        <f>$I$41*$Z$41</f>
        <v>0</v>
      </c>
      <c r="AA83" s="20">
        <f>$I$41*$AA$41</f>
        <v>0</v>
      </c>
      <c r="AB83" s="20">
        <f>$I$41*$AB$41</f>
        <v>0</v>
      </c>
      <c r="AC83" s="20">
        <f>$I$41*$AC$41</f>
        <v>144.02666173586655</v>
      </c>
      <c r="AD83" s="20">
        <f>$I$41*$AD$41</f>
        <v>0</v>
      </c>
      <c r="AE83" s="20">
        <f>$I$41*$AE$41</f>
        <v>0</v>
      </c>
      <c r="AF83" s="20">
        <f>$I$41*$AF$41</f>
        <v>0</v>
      </c>
      <c r="AG83" s="20">
        <f>$I$41*$AG$41</f>
        <v>0</v>
      </c>
      <c r="AH83" s="20">
        <f>$I$41*$AH$41</f>
        <v>0</v>
      </c>
    </row>
  </sheetData>
  <mergeCells count="69">
    <mergeCell ref="F1:F4"/>
    <mergeCell ref="A1:A4"/>
    <mergeCell ref="B1:B4"/>
    <mergeCell ref="C1:C4"/>
    <mergeCell ref="D1:D4"/>
    <mergeCell ref="E1:E4"/>
    <mergeCell ref="H1:H4"/>
    <mergeCell ref="I1:I4"/>
    <mergeCell ref="J1:J4"/>
    <mergeCell ref="L1:V1"/>
    <mergeCell ref="L2:V2"/>
    <mergeCell ref="L3:P3"/>
    <mergeCell ref="R3:T3"/>
    <mergeCell ref="A5:A6"/>
    <mergeCell ref="B5:B6"/>
    <mergeCell ref="C5:C6"/>
    <mergeCell ref="D5:D6"/>
    <mergeCell ref="E5:E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L43:V43"/>
    <mergeCell ref="X43:AH43"/>
    <mergeCell ref="L44:V44"/>
    <mergeCell ref="X44:AH44"/>
    <mergeCell ref="L45:P45"/>
    <mergeCell ref="R45:T45"/>
    <mergeCell ref="X45:AB45"/>
    <mergeCell ref="AD45:AF4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E3E5-A1EF-4C71-BC20-64F694B8EE72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15</v>
      </c>
      <c r="G1" s="14" t="s">
        <v>66</v>
      </c>
      <c r="I1" s="14" t="s">
        <v>970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80</v>
      </c>
      <c r="AB2" s="14" t="s">
        <v>73</v>
      </c>
      <c r="AC2" s="14" t="s">
        <v>24</v>
      </c>
      <c r="AD2" s="14" t="s">
        <v>24</v>
      </c>
      <c r="AE2" s="14" t="s">
        <v>78</v>
      </c>
      <c r="AG2" s="14" t="s">
        <v>75</v>
      </c>
    </row>
    <row r="3" spans="1:33" x14ac:dyDescent="0.2">
      <c r="AA3" s="14" t="s">
        <v>22</v>
      </c>
      <c r="AB3" s="14" t="s">
        <v>79</v>
      </c>
      <c r="AC3" s="14" t="s">
        <v>41</v>
      </c>
      <c r="AD3" s="14" t="s">
        <v>29</v>
      </c>
      <c r="AE3" s="14" t="s">
        <v>81</v>
      </c>
      <c r="AG3" s="14" t="s">
        <v>76</v>
      </c>
    </row>
    <row r="4" spans="1:33" x14ac:dyDescent="0.2">
      <c r="AA4" s="14" t="s">
        <v>40</v>
      </c>
      <c r="AB4" s="14" t="s">
        <v>36</v>
      </c>
      <c r="AC4" s="14" t="s">
        <v>44</v>
      </c>
      <c r="AD4" s="14" t="s">
        <v>30</v>
      </c>
      <c r="AE4" s="14" t="s">
        <v>82</v>
      </c>
      <c r="AG4" s="14" t="s">
        <v>77</v>
      </c>
    </row>
    <row r="5" spans="1:33" x14ac:dyDescent="0.2">
      <c r="A5" s="14" t="s">
        <v>963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389</v>
      </c>
      <c r="AA5" s="14" t="s">
        <v>33</v>
      </c>
      <c r="AB5" s="14" t="s">
        <v>85</v>
      </c>
      <c r="AD5" s="14" t="s">
        <v>31</v>
      </c>
      <c r="AG5" s="14" t="s">
        <v>9</v>
      </c>
    </row>
    <row r="6" spans="1:33" x14ac:dyDescent="0.2">
      <c r="A6" s="14" t="s">
        <v>964</v>
      </c>
      <c r="B6" s="39">
        <f>SUM(TUSD!$AI$57:'TUSD'!$AI$103)</f>
        <v>0</v>
      </c>
      <c r="C6" s="39">
        <f>SUM(TUSD!$AJ$57:'TUSD'!$AJ$103)</f>
        <v>36740.57082308449</v>
      </c>
      <c r="D6" s="39">
        <f>SUM(TUSD!$AK$57:'TUSD'!$AK$103)</f>
        <v>0</v>
      </c>
      <c r="E6" s="39">
        <f>SUM(TUSD!$AL$57:'TUSD'!$AL$103)</f>
        <v>0</v>
      </c>
      <c r="F6" s="39">
        <f>SUM(TUSD!$AM$57:'TUSD'!$AM$103)</f>
        <v>0</v>
      </c>
      <c r="G6" s="39">
        <f>SUM(TUSD!$AN$57:'TUSD'!$AN$103)</f>
        <v>1506176.3435137263</v>
      </c>
      <c r="H6" s="39">
        <f>SUM(TUSD!$AO$57:'TUSD'!$AO$103)</f>
        <v>243353.45591747848</v>
      </c>
      <c r="I6" s="39">
        <f>SUM(TUSD!$AP$57:'TUSD'!$AP$103)</f>
        <v>0</v>
      </c>
      <c r="J6" s="39">
        <f>SUM(TUSD!$AQ$57:'TUSD'!$AQ$103)</f>
        <v>0</v>
      </c>
      <c r="K6" s="39">
        <f>SUM(TUSD!$AR$57:'TUSD'!$AR$103)</f>
        <v>0</v>
      </c>
      <c r="L6" s="39">
        <f>SUM(TUSD!$AS$57:'TUSD'!$AS$103)</f>
        <v>0</v>
      </c>
      <c r="M6" s="39">
        <f>SUM(TUSD!$AT$57:'TUSD'!$AT$103)</f>
        <v>0</v>
      </c>
      <c r="N6" s="39">
        <f>SUM(TUSD!$AU$57:'TUSD'!$AU$103)</f>
        <v>2682670.6287031937</v>
      </c>
      <c r="O6" s="39">
        <f>SUM(TUSD!$AV$57:'TUSD'!$AV$103)</f>
        <v>0</v>
      </c>
      <c r="P6" s="39">
        <f>SUM(TUSD!$AW$57:'TUSD'!$AW$103)</f>
        <v>0</v>
      </c>
      <c r="Q6" s="39">
        <f>SUM(TUSD!$AX$57:'TUSD'!$AX$103)</f>
        <v>6472867.6130192783</v>
      </c>
      <c r="R6" s="39">
        <f>SUM(TUSD!$AY$57:'TUSD'!$AY$103)</f>
        <v>0</v>
      </c>
      <c r="S6" s="39">
        <f>SUM(TUSD!$AZ$57:'TUSD'!$AZ$103)</f>
        <v>0</v>
      </c>
      <c r="T6" s="39">
        <f>SUM(TUSD!$BA$57:'TUSD'!$BA$103)</f>
        <v>374032.54436718614</v>
      </c>
      <c r="U6" s="39">
        <f>SUM(TUSD!$BB$57:'TUSD'!$BB$103)</f>
        <v>0</v>
      </c>
      <c r="V6" s="39">
        <f>SUM(TUSD!$BC$57:'TUSD'!$BC$103)</f>
        <v>0</v>
      </c>
      <c r="W6" s="39">
        <f>SUM(TUSD!$BD$57:'TUSD'!$BD$103)</f>
        <v>0</v>
      </c>
      <c r="X6" s="39">
        <f t="shared" ref="X6:X11" si="0">SUM(B6:W6)</f>
        <v>11315841.156343948</v>
      </c>
      <c r="AA6" s="14" t="s">
        <v>43</v>
      </c>
      <c r="AB6" s="14" t="s">
        <v>23</v>
      </c>
      <c r="AD6" s="14" t="s">
        <v>32</v>
      </c>
      <c r="AG6" s="14" t="s">
        <v>71</v>
      </c>
    </row>
    <row r="7" spans="1:33" x14ac:dyDescent="0.2">
      <c r="A7" s="14" t="s">
        <v>965</v>
      </c>
      <c r="B7" s="39">
        <f>SUM(TUSD!$L$57:'TUSD'!$L$103)</f>
        <v>0</v>
      </c>
      <c r="C7" s="39">
        <f>SUM(TUSD!$M$57:'TUSD'!$M$103)</f>
        <v>42453.547501473855</v>
      </c>
      <c r="D7" s="39">
        <f ca="1">SUM(TUSD!$N$57:'TUSD'!$N$103)</f>
        <v>0</v>
      </c>
      <c r="E7" s="39">
        <f>SUM(TUSD!$O$57:'TUSD'!$O$103)</f>
        <v>0</v>
      </c>
      <c r="F7" s="39">
        <f>SUM(TUSD!$P$57:'TUSD'!$P$103)</f>
        <v>0</v>
      </c>
      <c r="G7" s="39">
        <f>SUM(TUSD!$Q$57:'TUSD'!$Q$103)</f>
        <v>2350358.1496823174</v>
      </c>
      <c r="H7" s="39">
        <f>SUM(TUSD!$R$57:'TUSD'!$R$103)</f>
        <v>389349.19262118137</v>
      </c>
      <c r="I7" s="39">
        <f>SUM(TUSD!$S$57:'TUSD'!$S$103)</f>
        <v>0</v>
      </c>
      <c r="J7" s="39">
        <f>SUM(TUSD!$T$57:'TUSD'!$T$103)</f>
        <v>0</v>
      </c>
      <c r="K7" s="39">
        <f>SUM(TUSD!$U$57:'TUSD'!$U$103)</f>
        <v>0</v>
      </c>
      <c r="L7" s="39">
        <f>SUM(TUSD!$V$57:'TUSD'!$V$103)</f>
        <v>0</v>
      </c>
      <c r="M7" s="39">
        <f>SUM(TUSD!$W$57:'TUSD'!$W$103)</f>
        <v>0</v>
      </c>
      <c r="N7" s="39">
        <f>SUM(TUSD!$X$57:'TUSD'!$X$103)</f>
        <v>3101599.5799845513</v>
      </c>
      <c r="O7" s="39">
        <f>SUM(TUSD!$Y$57:'TUSD'!$Y$103)</f>
        <v>0</v>
      </c>
      <c r="P7" s="39">
        <f>SUM(TUSD!$Z$57:'TUSD'!$Z$103)</f>
        <v>0</v>
      </c>
      <c r="Q7" s="39">
        <f>SUM(TUSD!$AA$57:'TUSD'!$AA$103)</f>
        <v>6608985.3215832571</v>
      </c>
      <c r="R7" s="39">
        <f ca="1">SUM(TUSD!$AB$57:'TUSD'!$AB$103)</f>
        <v>0</v>
      </c>
      <c r="S7" s="39">
        <f ca="1">SUM(TUSD!$AC$57:'TUSD'!$AC$103)</f>
        <v>0</v>
      </c>
      <c r="T7" s="39">
        <f>SUM(TUSD!$AD$57:'TUSD'!$AD$103)</f>
        <v>281817.05729409796</v>
      </c>
      <c r="U7" s="39">
        <f>SUM(TUSD!$AE$57:'TUSD'!$AE$103)</f>
        <v>0</v>
      </c>
      <c r="V7" s="39">
        <f ca="1">SUM(TUSD!$AF$57:'TUSD'!$AF$103)</f>
        <v>0</v>
      </c>
      <c r="W7" s="39">
        <f ca="1">SUM(TUSD!$AG$57:'TUSD'!$AG$103)</f>
        <v>0</v>
      </c>
      <c r="X7" s="39">
        <f t="shared" ca="1" si="0"/>
        <v>12774562.848666878</v>
      </c>
      <c r="AB7" s="14" t="s">
        <v>87</v>
      </c>
      <c r="AD7" s="14" t="s">
        <v>88</v>
      </c>
      <c r="AG7" s="14" t="s">
        <v>72</v>
      </c>
    </row>
    <row r="8" spans="1:33" x14ac:dyDescent="0.2">
      <c r="A8" s="14" t="s">
        <v>968</v>
      </c>
      <c r="B8" s="39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39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5555.1902499882935</v>
      </c>
      <c r="D8" s="39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39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39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39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400053.97897783353</v>
      </c>
      <c r="H8" s="39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71459.128270195462</v>
      </c>
      <c r="I8" s="39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39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39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39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39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39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625689.1212792194</v>
      </c>
      <c r="O8" s="39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39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39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1016238.8721250275</v>
      </c>
      <c r="R8" s="39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39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39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50611.601535470349</v>
      </c>
      <c r="U8" s="39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39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39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39">
        <f t="shared" si="0"/>
        <v>2169607.8924377346</v>
      </c>
      <c r="AD8" s="14" t="s">
        <v>89</v>
      </c>
      <c r="AG8" s="14" t="s">
        <v>83</v>
      </c>
    </row>
    <row r="9" spans="1:33" x14ac:dyDescent="0.2">
      <c r="A9" s="14" t="s">
        <v>969</v>
      </c>
      <c r="B9" s="39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39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6608.2806991419038</v>
      </c>
      <c r="D9" s="39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39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39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39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603632.39942975936</v>
      </c>
      <c r="H9" s="39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113489.70341811454</v>
      </c>
      <c r="I9" s="39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39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39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39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39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39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717773.65070270142</v>
      </c>
      <c r="O9" s="39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39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39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1028748.6608748778</v>
      </c>
      <c r="R9" s="39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39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39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37799.815559251489</v>
      </c>
      <c r="U9" s="39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39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39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39">
        <f t="shared" ca="1" si="0"/>
        <v>2508052.5106838471</v>
      </c>
      <c r="AD9" s="14" t="s">
        <v>45</v>
      </c>
    </row>
    <row r="10" spans="1:33" x14ac:dyDescent="0.2">
      <c r="A10" s="14" t="s">
        <v>966</v>
      </c>
      <c r="B10" s="39">
        <f>SUMIF(TUSD!$A$57:'TUSD'!$A$103,$A$2,TUSD!$AI$57:'TUSD'!$AI$103)</f>
        <v>0</v>
      </c>
      <c r="C10" s="39">
        <f>SUMIF(TUSD!$A$57:'TUSD'!$A$103,$A$2,TUSD!$AJ$57:'TUSD'!$AJ$103)</f>
        <v>5555.1902499882935</v>
      </c>
      <c r="D10" s="39">
        <f>SUMIF(TUSD!$A$57:'TUSD'!$A$103,$A$2,TUSD!$AK$57:'TUSD'!$AK$103)</f>
        <v>0</v>
      </c>
      <c r="E10" s="39">
        <f>SUMIF(TUSD!$A$57:'TUSD'!$A$103,$A$2,TUSD!$AL$57:'TUSD'!$AL$103)</f>
        <v>0</v>
      </c>
      <c r="F10" s="39">
        <f>SUMIF(TUSD!$A$57:'TUSD'!$A$103,$A$2,TUSD!$AM$57:'TUSD'!$AM$103)</f>
        <v>0</v>
      </c>
      <c r="G10" s="39">
        <f>SUMIF(TUSD!$A$57:'TUSD'!$A$103,$A$2,TUSD!$AN$57:'TUSD'!$AN$103)</f>
        <v>400053.97897783353</v>
      </c>
      <c r="H10" s="39">
        <f>SUMIF(TUSD!$A$57:'TUSD'!$A$103,$A$2,TUSD!$AO$57:'TUSD'!$AO$103)</f>
        <v>71459.128270195462</v>
      </c>
      <c r="I10" s="39">
        <f>SUMIF(TUSD!$A$57:'TUSD'!$A$103,$A$2,TUSD!$AP$57:'TUSD'!$AP$103)</f>
        <v>0</v>
      </c>
      <c r="J10" s="39">
        <f>SUMIF(TUSD!$A$57:'TUSD'!$A$103,$A$2,TUSD!$AQ$57:'TUSD'!$AQ$103)</f>
        <v>0</v>
      </c>
      <c r="K10" s="39">
        <f>SUMIF(TUSD!$A$57:'TUSD'!$A$103,$A$2,TUSD!$AR$57:'TUSD'!$AR$103)</f>
        <v>0</v>
      </c>
      <c r="L10" s="39">
        <f>SUMIF(TUSD!$A$57:'TUSD'!$A$103,$A$2,TUSD!$AS$57:'TUSD'!$AS$103)</f>
        <v>0</v>
      </c>
      <c r="M10" s="39">
        <f>SUMIF(TUSD!$A$57:'TUSD'!$A$103,$A$2,TUSD!$AT$57:'TUSD'!$AT$103)</f>
        <v>0</v>
      </c>
      <c r="N10" s="39">
        <f>SUMIF(TUSD!$A$57:'TUSD'!$A$103,$A$2,TUSD!$AU$57:'TUSD'!$AU$103)</f>
        <v>625689.1212792194</v>
      </c>
      <c r="O10" s="39">
        <f>SUMIF(TUSD!$A$57:'TUSD'!$A$103,$A$2,TUSD!$AV$57:'TUSD'!$AV$103)</f>
        <v>0</v>
      </c>
      <c r="P10" s="39">
        <f>SUMIF(TUSD!$A$57:'TUSD'!$A$103,$A$2,TUSD!$AW$57:'TUSD'!$AW$103)</f>
        <v>0</v>
      </c>
      <c r="Q10" s="39">
        <f>SUMIF(TUSD!$A$57:'TUSD'!$A$103,$A$2,TUSD!$AX$57:'TUSD'!$AX$103)</f>
        <v>1016238.8721250275</v>
      </c>
      <c r="R10" s="39">
        <f>SUMIF(TUSD!$A$57:'TUSD'!$A$103,$A$2,TUSD!$AY$57:'TUSD'!$AY$103)</f>
        <v>0</v>
      </c>
      <c r="S10" s="39">
        <f>SUMIF(TUSD!$A$57:'TUSD'!$A$103,$A$2,TUSD!$AZ$57:'TUSD'!$AZ$103)</f>
        <v>0</v>
      </c>
      <c r="T10" s="39">
        <f>SUMIF(TUSD!$A$57:'TUSD'!$A$103,$A$2,TUSD!$BA$57:'TUSD'!$BA$103)</f>
        <v>50611.601535470349</v>
      </c>
      <c r="U10" s="39">
        <f>SUMIF(TUSD!$A$57:'TUSD'!$A$103,$A$2,TUSD!$BB$57:'TUSD'!$BB$103)</f>
        <v>0</v>
      </c>
      <c r="V10" s="39">
        <f>SUMIF(TUSD!$A$57:'TUSD'!$A$103,$A$2,TUSD!$BC$57:'TUSD'!$BC$103)</f>
        <v>0</v>
      </c>
      <c r="W10" s="39">
        <f>SUMIF(TUSD!$A$57:'TUSD'!$A$103,$A$2,TUSD!$BD$57:'TUSD'!$BD$103)</f>
        <v>0</v>
      </c>
      <c r="X10" s="39">
        <f t="shared" si="0"/>
        <v>2169607.8924377346</v>
      </c>
      <c r="AD10" s="14" t="s">
        <v>46</v>
      </c>
    </row>
    <row r="11" spans="1:33" x14ac:dyDescent="0.2">
      <c r="A11" s="14" t="s">
        <v>967</v>
      </c>
      <c r="B11" s="39">
        <f>SUMIF(TUSD!$A$57:'TUSD'!$A$103,$A$2,TUSD!$L$57:'TUSD'!$L$103)</f>
        <v>0</v>
      </c>
      <c r="C11" s="39">
        <f>SUMIF(TUSD!$A$57:'TUSD'!$A$103,$A$2,TUSD!$M$57:'TUSD'!$M$103)</f>
        <v>6608.2806991419038</v>
      </c>
      <c r="D11" s="39">
        <f ca="1">SUMIF(TUSD!$A$57:'TUSD'!$A$103,$A$2,TUSD!$N$57:'TUSD'!$N$103)</f>
        <v>0</v>
      </c>
      <c r="E11" s="39">
        <f>SUMIF(TUSD!$A$57:'TUSD'!$A$103,$A$2,TUSD!$O$57:'TUSD'!$O$103)</f>
        <v>0</v>
      </c>
      <c r="F11" s="39">
        <f>SUMIF(TUSD!$A$57:'TUSD'!$A$103,$A$2,TUSD!$P$57:'TUSD'!$P$103)</f>
        <v>0</v>
      </c>
      <c r="G11" s="39">
        <f>SUMIF(TUSD!$A$57:'TUSD'!$A$103,$A$2,TUSD!$Q$57:'TUSD'!$Q$103)</f>
        <v>603632.39942975936</v>
      </c>
      <c r="H11" s="39">
        <f>SUMIF(TUSD!$A$57:'TUSD'!$A$103,$A$2,TUSD!$R$57:'TUSD'!$R$103)</f>
        <v>113489.70341811454</v>
      </c>
      <c r="I11" s="39">
        <f>SUMIF(TUSD!$A$57:'TUSD'!$A$103,$A$2,TUSD!$S$57:'TUSD'!$S$103)</f>
        <v>0</v>
      </c>
      <c r="J11" s="39">
        <f>SUMIF(TUSD!$A$57:'TUSD'!$A$103,$A$2,TUSD!$T$57:'TUSD'!$T$103)</f>
        <v>0</v>
      </c>
      <c r="K11" s="39">
        <f>SUMIF(TUSD!$A$57:'TUSD'!$A$103,$A$2,TUSD!$U$57:'TUSD'!$U$103)</f>
        <v>0</v>
      </c>
      <c r="L11" s="39">
        <f>SUMIF(TUSD!$A$57:'TUSD'!$A$103,$A$2,TUSD!$V$57:'TUSD'!$V$103)</f>
        <v>0</v>
      </c>
      <c r="M11" s="39">
        <f>SUMIF(TUSD!$A$57:'TUSD'!$A$103,$A$2,TUSD!$W$57:'TUSD'!$W$103)</f>
        <v>0</v>
      </c>
      <c r="N11" s="39">
        <f>SUMIF(TUSD!$A$57:'TUSD'!$A$103,$A$2,TUSD!$X$57:'TUSD'!$X$103)</f>
        <v>717773.65070270142</v>
      </c>
      <c r="O11" s="39">
        <f>SUMIF(TUSD!$A$57:'TUSD'!$A$103,$A$2,TUSD!$Y$57:'TUSD'!$Y$103)</f>
        <v>0</v>
      </c>
      <c r="P11" s="39">
        <f>SUMIF(TUSD!$A$57:'TUSD'!$A$103,$A$2,TUSD!$Z$57:'TUSD'!$Z$103)</f>
        <v>0</v>
      </c>
      <c r="Q11" s="39">
        <f>SUMIF(TUSD!$A$57:'TUSD'!$A$103,$A$2,TUSD!$AA$57:'TUSD'!$AA$103)</f>
        <v>1028748.6608748778</v>
      </c>
      <c r="R11" s="39">
        <f ca="1">SUMIF(TUSD!$A$57:'TUSD'!$A$103,$A$2,TUSD!$AB$57:'TUSD'!$AB$103)</f>
        <v>0</v>
      </c>
      <c r="S11" s="39">
        <f ca="1">SUMIF(TUSD!$A$57:'TUSD'!$A$103,$A$2,TUSD!$AC$57:'TUSD'!$AC$103)</f>
        <v>0</v>
      </c>
      <c r="T11" s="39">
        <f>SUMIF(TUSD!$A$57:'TUSD'!$A$103,$A$2,TUSD!$AD$57:'TUSD'!$AD$103)</f>
        <v>37799.815559251489</v>
      </c>
      <c r="U11" s="39">
        <f>SUMIF(TUSD!$A$57:'TUSD'!$A$103,$A$2,TUSD!$AE$57:'TUSD'!$AE$103)</f>
        <v>0</v>
      </c>
      <c r="V11" s="39">
        <f ca="1">SUMIF(TUSD!$A$57:'TUSD'!$A$103,$A$2,TUSD!$AF$57:'TUSD'!$AF$103)</f>
        <v>0</v>
      </c>
      <c r="W11" s="39">
        <f ca="1">SUMIF(TUSD!$A$57:'TUSD'!$A$103,$A$2,TUSD!$AG$57:'TUSD'!$AG$103)</f>
        <v>0</v>
      </c>
      <c r="X11" s="39">
        <f t="shared" ca="1" si="0"/>
        <v>2508052.5106838471</v>
      </c>
    </row>
    <row r="13" spans="1:33" x14ac:dyDescent="0.2">
      <c r="A13" s="14" t="s">
        <v>971</v>
      </c>
      <c r="B13" s="58">
        <f t="shared" ref="B13:X13" si="1">IF($X$6&lt;&gt;0,(B$7-B$6)/$X$6,0)</f>
        <v>0</v>
      </c>
      <c r="C13" s="58">
        <f t="shared" si="1"/>
        <v>5.0486540058814139E-4</v>
      </c>
      <c r="D13" s="58">
        <f t="shared" ca="1" si="1"/>
        <v>0</v>
      </c>
      <c r="E13" s="58">
        <f t="shared" si="1"/>
        <v>0</v>
      </c>
      <c r="F13" s="58">
        <f t="shared" si="1"/>
        <v>0</v>
      </c>
      <c r="G13" s="58">
        <f t="shared" si="1"/>
        <v>7.4601772374236749E-2</v>
      </c>
      <c r="H13" s="58">
        <f t="shared" si="1"/>
        <v>1.2901889898114553E-2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0</v>
      </c>
      <c r="N13" s="58">
        <f t="shared" si="1"/>
        <v>3.7021459164482469E-2</v>
      </c>
      <c r="O13" s="58">
        <f t="shared" si="1"/>
        <v>0</v>
      </c>
      <c r="P13" s="58">
        <f t="shared" si="1"/>
        <v>0</v>
      </c>
      <c r="Q13" s="58">
        <f t="shared" si="1"/>
        <v>1.2028951863438605E-2</v>
      </c>
      <c r="R13" s="58">
        <f t="shared" ca="1" si="1"/>
        <v>0</v>
      </c>
      <c r="S13" s="58">
        <f t="shared" ca="1" si="1"/>
        <v>0</v>
      </c>
      <c r="T13" s="58">
        <f t="shared" si="1"/>
        <v>-8.1492383817521018E-3</v>
      </c>
      <c r="U13" s="58">
        <f t="shared" si="1"/>
        <v>0</v>
      </c>
      <c r="V13" s="58">
        <f t="shared" ca="1" si="1"/>
        <v>0</v>
      </c>
      <c r="W13" s="58">
        <f t="shared" ca="1" si="1"/>
        <v>0</v>
      </c>
      <c r="X13" s="58">
        <f t="shared" ca="1" si="1"/>
        <v>0.12890970031910831</v>
      </c>
    </row>
    <row r="14" spans="1:33" x14ac:dyDescent="0.2">
      <c r="A14" s="14" t="s">
        <v>972</v>
      </c>
      <c r="B14" s="58">
        <f t="shared" ref="B14:X14" si="2">IF($X$10&lt;&gt;0,(B$9-B$8)/$X$10,0)</f>
        <v>0</v>
      </c>
      <c r="C14" s="58">
        <f t="shared" si="2"/>
        <v>4.8538284398033589E-4</v>
      </c>
      <c r="D14" s="58">
        <f t="shared" ca="1" si="2"/>
        <v>0</v>
      </c>
      <c r="E14" s="58">
        <f t="shared" si="2"/>
        <v>0</v>
      </c>
      <c r="F14" s="58">
        <f t="shared" si="2"/>
        <v>0</v>
      </c>
      <c r="G14" s="58">
        <f t="shared" si="2"/>
        <v>9.3831895229321172E-2</v>
      </c>
      <c r="H14" s="58">
        <f t="shared" si="2"/>
        <v>1.9372429135429737E-2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0</v>
      </c>
      <c r="N14" s="58">
        <f t="shared" si="2"/>
        <v>4.2442936230296158E-2</v>
      </c>
      <c r="O14" s="58">
        <f t="shared" si="2"/>
        <v>0</v>
      </c>
      <c r="P14" s="58">
        <f t="shared" si="2"/>
        <v>0</v>
      </c>
      <c r="Q14" s="58">
        <f t="shared" si="2"/>
        <v>5.7659214798460971E-3</v>
      </c>
      <c r="R14" s="58">
        <f t="shared" ca="1" si="2"/>
        <v>0</v>
      </c>
      <c r="S14" s="58">
        <f t="shared" ca="1" si="2"/>
        <v>0</v>
      </c>
      <c r="T14" s="58">
        <f t="shared" si="2"/>
        <v>-5.9051158602782157E-3</v>
      </c>
      <c r="U14" s="58">
        <f t="shared" si="2"/>
        <v>0</v>
      </c>
      <c r="V14" s="58">
        <f t="shared" ca="1" si="2"/>
        <v>0</v>
      </c>
      <c r="W14" s="58">
        <f t="shared" ca="1" si="2"/>
        <v>0</v>
      </c>
      <c r="X14" s="58">
        <f t="shared" ca="1" si="2"/>
        <v>0.1559934490585955</v>
      </c>
    </row>
    <row r="15" spans="1:33" x14ac:dyDescent="0.2">
      <c r="A15" s="14" t="s">
        <v>973</v>
      </c>
      <c r="B15" s="58">
        <f t="shared" ref="B15:X15" si="3">IF($X$8&lt;&gt;0,(B$9-B$8)/$X$8,0)</f>
        <v>0</v>
      </c>
      <c r="C15" s="58">
        <f t="shared" si="3"/>
        <v>4.8538284398033589E-4</v>
      </c>
      <c r="D15" s="58">
        <f t="shared" ca="1" si="3"/>
        <v>0</v>
      </c>
      <c r="E15" s="58">
        <f t="shared" si="3"/>
        <v>0</v>
      </c>
      <c r="F15" s="58">
        <f t="shared" si="3"/>
        <v>0</v>
      </c>
      <c r="G15" s="58">
        <f t="shared" si="3"/>
        <v>9.3831895229321172E-2</v>
      </c>
      <c r="H15" s="58">
        <f t="shared" si="3"/>
        <v>1.9372429135429737E-2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0</v>
      </c>
      <c r="N15" s="58">
        <f t="shared" si="3"/>
        <v>4.2442936230296158E-2</v>
      </c>
      <c r="O15" s="58">
        <f t="shared" si="3"/>
        <v>0</v>
      </c>
      <c r="P15" s="58">
        <f t="shared" si="3"/>
        <v>0</v>
      </c>
      <c r="Q15" s="58">
        <f t="shared" si="3"/>
        <v>5.7659214798460971E-3</v>
      </c>
      <c r="R15" s="58">
        <f t="shared" ca="1" si="3"/>
        <v>0</v>
      </c>
      <c r="S15" s="58">
        <f t="shared" ca="1" si="3"/>
        <v>0</v>
      </c>
      <c r="T15" s="58">
        <f t="shared" si="3"/>
        <v>-5.9051158602782157E-3</v>
      </c>
      <c r="U15" s="58">
        <f t="shared" si="3"/>
        <v>0</v>
      </c>
      <c r="V15" s="58">
        <f t="shared" ca="1" si="3"/>
        <v>0</v>
      </c>
      <c r="W15" s="58">
        <f t="shared" ca="1" si="3"/>
        <v>0</v>
      </c>
      <c r="X15" s="58">
        <f t="shared" ca="1" si="3"/>
        <v>0.1559934490585955</v>
      </c>
    </row>
  </sheetData>
  <dataValidations count="6">
    <dataValidation type="list" allowBlank="1" showInputMessage="1" showErrorMessage="1" error="Deve-se selecionar grupo válido" sqref="A2" xr:uid="{9492CE1D-19B6-4239-BA33-1875ECC507B5}">
      <formula1>AA1:AA6</formula1>
    </dataValidation>
    <dataValidation type="list" allowBlank="1" showInputMessage="1" showErrorMessage="1" error="Deve-se selecionar grupo válido" sqref="B2" xr:uid="{5FEA511C-F6B3-4542-AF6F-CE10D331A622}">
      <formula1>AB1:AB7</formula1>
    </dataValidation>
    <dataValidation type="list" allowBlank="1" showInputMessage="1" showErrorMessage="1" error="Deve-se selecionar grupo válido" sqref="C2 E2" xr:uid="{2CD92228-1641-4FE4-88A2-F157888785C2}">
      <formula1>AC1:AC4</formula1>
    </dataValidation>
    <dataValidation type="list" allowBlank="1" showInputMessage="1" showErrorMessage="1" error="Deve-se selecionar grupo válido" sqref="D2" xr:uid="{ECB58841-C640-45B7-8CD1-0F972BEE7C4A}">
      <formula1>AD1:AD10</formula1>
    </dataValidation>
    <dataValidation type="list" allowBlank="1" showInputMessage="1" showErrorMessage="1" error="Deve-se selecionar grupo válido" sqref="F2" xr:uid="{EB559D61-0577-40A5-8791-F3A34477E104}">
      <formula1>AF1:AF1</formula1>
    </dataValidation>
    <dataValidation type="list" allowBlank="1" showInputMessage="1" showErrorMessage="1" error="Deve-se selecionar grupo válido" sqref="G2" xr:uid="{83B35CFA-112F-4569-9111-0247178ED778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303C-D3D4-44D8-8E17-FDE6C6351A16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60</v>
      </c>
      <c r="B1" s="14" t="s">
        <v>61</v>
      </c>
      <c r="C1" s="14" t="s">
        <v>62</v>
      </c>
      <c r="D1" s="14" t="s">
        <v>63</v>
      </c>
      <c r="E1" s="14" t="s">
        <v>64</v>
      </c>
      <c r="F1" s="14" t="s">
        <v>15</v>
      </c>
      <c r="G1" s="14" t="s">
        <v>66</v>
      </c>
      <c r="I1" s="14" t="s">
        <v>970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69</v>
      </c>
      <c r="AC2" s="14" t="s">
        <v>24</v>
      </c>
      <c r="AD2" s="14" t="s">
        <v>24</v>
      </c>
      <c r="AG2" s="14" t="s">
        <v>71</v>
      </c>
    </row>
    <row r="3" spans="1:33" x14ac:dyDescent="0.2">
      <c r="AA3" s="14" t="s">
        <v>40</v>
      </c>
      <c r="AB3" s="14" t="s">
        <v>84</v>
      </c>
      <c r="AC3" s="14" t="s">
        <v>41</v>
      </c>
      <c r="AD3" s="14" t="s">
        <v>29</v>
      </c>
      <c r="AG3" s="14" t="s">
        <v>72</v>
      </c>
    </row>
    <row r="4" spans="1:33" x14ac:dyDescent="0.2">
      <c r="AA4" s="14" t="s">
        <v>33</v>
      </c>
      <c r="AB4" s="14" t="s">
        <v>86</v>
      </c>
      <c r="AC4" s="14" t="s">
        <v>44</v>
      </c>
      <c r="AD4" s="14" t="s">
        <v>30</v>
      </c>
      <c r="AG4" s="14" t="s">
        <v>83</v>
      </c>
    </row>
    <row r="5" spans="1:33" x14ac:dyDescent="0.2">
      <c r="A5" s="14" t="s">
        <v>963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389</v>
      </c>
      <c r="AA5" s="14" t="s">
        <v>43</v>
      </c>
      <c r="AD5" s="14" t="s">
        <v>31</v>
      </c>
      <c r="AG5" s="14" t="s">
        <v>77</v>
      </c>
    </row>
    <row r="6" spans="1:33" x14ac:dyDescent="0.2">
      <c r="A6" s="14" t="s">
        <v>964</v>
      </c>
      <c r="B6" s="39">
        <f>SUM(TE!$X$47:'TE'!$X$83)</f>
        <v>0</v>
      </c>
      <c r="C6" s="39">
        <f>SUM(TE!$Y$47:'TE'!$Y$83)</f>
        <v>0</v>
      </c>
      <c r="D6" s="39">
        <f>SUM(TE!$Z$47:'TE'!$Z$83)</f>
        <v>0</v>
      </c>
      <c r="E6" s="39">
        <f>SUM(TE!$AA$47:'TE'!$AA$83)</f>
        <v>0</v>
      </c>
      <c r="F6" s="39">
        <f>SUM(TE!$AB$47:'TE'!$AB$83)</f>
        <v>0</v>
      </c>
      <c r="G6" s="39">
        <f>SUM(TE!$AC$47:'TE'!$AC$83)</f>
        <v>4476443.8219742076</v>
      </c>
      <c r="H6" s="39">
        <f>SUM(TE!$AD$47:'TE'!$AD$83)</f>
        <v>0</v>
      </c>
      <c r="I6" s="39">
        <f>SUM(TE!$AE$47:'TE'!$AE$83)</f>
        <v>0</v>
      </c>
      <c r="J6" s="39">
        <f>SUM(TE!$AF$47:'TE'!$AF$83)</f>
        <v>0</v>
      </c>
      <c r="K6" s="39">
        <f>SUM(TE!$AG$47:'TE'!$AG$83)</f>
        <v>0</v>
      </c>
      <c r="L6" s="39">
        <f>SUM(TE!$AH$47:'TE'!$AH$83)</f>
        <v>0</v>
      </c>
      <c r="M6" s="39">
        <f t="shared" ref="M6:M11" si="0">SUM(B6:L6)</f>
        <v>4476443.8219742076</v>
      </c>
      <c r="AD6" s="14" t="s">
        <v>32</v>
      </c>
    </row>
    <row r="7" spans="1:33" x14ac:dyDescent="0.2">
      <c r="A7" s="14" t="s">
        <v>965</v>
      </c>
      <c r="B7" s="39">
        <f>SUM(TE!$L$47:'TE'!$L$83)</f>
        <v>0</v>
      </c>
      <c r="C7" s="39">
        <f>SUM(TE!$M$47:'TE'!$M$83)</f>
        <v>0</v>
      </c>
      <c r="D7" s="39">
        <f>SUM(TE!$N$47:'TE'!$N$83)</f>
        <v>0</v>
      </c>
      <c r="E7" s="39">
        <f>SUM(TE!$O$47:'TE'!$O$83)</f>
        <v>0</v>
      </c>
      <c r="F7" s="39">
        <f>SUM(TE!$P$47:'TE'!$P$83)</f>
        <v>0</v>
      </c>
      <c r="G7" s="39">
        <f>SUM(TE!$Q$47:'TE'!$Q$83)</f>
        <v>4201978.98983486</v>
      </c>
      <c r="H7" s="39">
        <f>SUM(TE!$R$47:'TE'!$R$83)</f>
        <v>0</v>
      </c>
      <c r="I7" s="39">
        <f>SUM(TE!$S$47:'TE'!$S$83)</f>
        <v>0</v>
      </c>
      <c r="J7" s="39">
        <f>SUM(TE!$T$47:'TE'!$T$83)</f>
        <v>0</v>
      </c>
      <c r="K7" s="39">
        <f>SUM(TE!$U$47:'TE'!$U$83)</f>
        <v>0</v>
      </c>
      <c r="L7" s="39">
        <f>SUM(TE!$V$47:'TE'!$V$83)</f>
        <v>0</v>
      </c>
      <c r="M7" s="39">
        <f t="shared" si="0"/>
        <v>4201978.98983486</v>
      </c>
      <c r="AD7" s="14" t="s">
        <v>88</v>
      </c>
    </row>
    <row r="8" spans="1:33" x14ac:dyDescent="0.2">
      <c r="A8" s="14" t="s">
        <v>968</v>
      </c>
      <c r="B8" s="39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39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39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39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39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39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1291061.7362084275</v>
      </c>
      <c r="H8" s="39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39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39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39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39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39">
        <f t="shared" si="0"/>
        <v>1291061.7362084275</v>
      </c>
      <c r="AD8" s="14" t="s">
        <v>89</v>
      </c>
    </row>
    <row r="9" spans="1:33" x14ac:dyDescent="0.2">
      <c r="A9" s="14" t="s">
        <v>969</v>
      </c>
      <c r="B9" s="39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39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39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39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39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39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1203155.0201612453</v>
      </c>
      <c r="H9" s="39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39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39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39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39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39">
        <f t="shared" si="0"/>
        <v>1203155.0201612453</v>
      </c>
      <c r="AD9" s="14" t="s">
        <v>45</v>
      </c>
    </row>
    <row r="10" spans="1:33" x14ac:dyDescent="0.2">
      <c r="A10" s="14" t="s">
        <v>966</v>
      </c>
      <c r="B10" s="39">
        <f>SUMIF(TE!$A$47:'TE'!$A$83,$A$2,TE!$X$47:'TE'!$X$83)</f>
        <v>0</v>
      </c>
      <c r="C10" s="39">
        <f>SUMIF(TE!$A$47:'TE'!$A$83,$A$2,TE!$Y$47:'TE'!$Y$83)</f>
        <v>0</v>
      </c>
      <c r="D10" s="39">
        <f>SUMIF(TE!$A$47:'TE'!$A$83,$A$2,TE!$Z$47:'TE'!$Z$83)</f>
        <v>0</v>
      </c>
      <c r="E10" s="39">
        <f>SUMIF(TE!$A$47:'TE'!$A$83,$A$2,TE!$AA$47:'TE'!$AA$83)</f>
        <v>0</v>
      </c>
      <c r="F10" s="39">
        <f>SUMIF(TE!$A$47:'TE'!$A$83,$A$2,TE!$AB$47:'TE'!$AB$83)</f>
        <v>0</v>
      </c>
      <c r="G10" s="39">
        <f>SUMIF(TE!$A$47:'TE'!$A$83,$A$2,TE!$AC$47:'TE'!$AC$83)</f>
        <v>1291061.7362084275</v>
      </c>
      <c r="H10" s="39">
        <f>SUMIF(TE!$A$47:'TE'!$A$83,$A$2,TE!$AD$47:'TE'!$AD$83)</f>
        <v>0</v>
      </c>
      <c r="I10" s="39">
        <f>SUMIF(TE!$A$47:'TE'!$A$83,$A$2,TE!$AE$47:'TE'!$AE$83)</f>
        <v>0</v>
      </c>
      <c r="J10" s="39">
        <f>SUMIF(TE!$A$47:'TE'!$A$83,$A$2,TE!$AF$47:'TE'!$AF$83)</f>
        <v>0</v>
      </c>
      <c r="K10" s="39">
        <f>SUMIF(TE!$A$47:'TE'!$A$83,$A$2,TE!$AG$47:'TE'!$AG$83)</f>
        <v>0</v>
      </c>
      <c r="L10" s="39">
        <f>SUMIF(TE!$A$47:'TE'!$A$83,$A$2,TE!$AH$47:'TE'!$AH$83)</f>
        <v>0</v>
      </c>
      <c r="M10" s="39">
        <f t="shared" si="0"/>
        <v>1291061.7362084275</v>
      </c>
      <c r="AD10" s="14" t="s">
        <v>46</v>
      </c>
    </row>
    <row r="11" spans="1:33" x14ac:dyDescent="0.2">
      <c r="A11" s="14" t="s">
        <v>967</v>
      </c>
      <c r="B11" s="39">
        <f>SUMIF(TE!$A$47:'TE'!$A$83,$A$2,TE!$L$47:'TE'!$L$83)</f>
        <v>0</v>
      </c>
      <c r="C11" s="39">
        <f>SUMIF(TE!$A$47:'TE'!$A$83,$A$2,TE!$M$47:'TE'!$M$83)</f>
        <v>0</v>
      </c>
      <c r="D11" s="39">
        <f>SUMIF(TE!$A$47:'TE'!$A$83,$A$2,TE!$N$47:'TE'!$N$83)</f>
        <v>0</v>
      </c>
      <c r="E11" s="39">
        <f>SUMIF(TE!$A$47:'TE'!$A$83,$A$2,TE!$O$47:'TE'!$O$83)</f>
        <v>0</v>
      </c>
      <c r="F11" s="39">
        <f>SUMIF(TE!$A$47:'TE'!$A$83,$A$2,TE!$P$47:'TE'!$P$83)</f>
        <v>0</v>
      </c>
      <c r="G11" s="39">
        <f>SUMIF(TE!$A$47:'TE'!$A$83,$A$2,TE!$Q$47:'TE'!$Q$83)</f>
        <v>1203155.0201612453</v>
      </c>
      <c r="H11" s="39">
        <f>SUMIF(TE!$A$47:'TE'!$A$83,$A$2,TE!$R$47:'TE'!$R$83)</f>
        <v>0</v>
      </c>
      <c r="I11" s="39">
        <f>SUMIF(TE!$A$47:'TE'!$A$83,$A$2,TE!$S$47:'TE'!$S$83)</f>
        <v>0</v>
      </c>
      <c r="J11" s="39">
        <f>SUMIF(TE!$A$47:'TE'!$A$83,$A$2,TE!$T$47:'TE'!$T$83)</f>
        <v>0</v>
      </c>
      <c r="K11" s="39">
        <f>SUMIF(TE!$A$47:'TE'!$A$83,$A$2,TE!$U$47:'TE'!$U$83)</f>
        <v>0</v>
      </c>
      <c r="L11" s="39">
        <f>SUMIF(TE!$A$47:'TE'!$A$83,$A$2,TE!$V$47:'TE'!$V$83)</f>
        <v>0</v>
      </c>
      <c r="M11" s="39">
        <f t="shared" si="0"/>
        <v>1203155.0201612453</v>
      </c>
    </row>
    <row r="13" spans="1:33" x14ac:dyDescent="0.2">
      <c r="A13" s="14" t="s">
        <v>971</v>
      </c>
      <c r="B13" s="58">
        <f t="shared" ref="B13:M13" si="1">IF($M$6&lt;&gt;0,(B$7-B$6)/$M$6,0)</f>
        <v>0</v>
      </c>
      <c r="C13" s="58">
        <f t="shared" si="1"/>
        <v>0</v>
      </c>
      <c r="D13" s="58">
        <f t="shared" si="1"/>
        <v>0</v>
      </c>
      <c r="E13" s="58">
        <f t="shared" si="1"/>
        <v>0</v>
      </c>
      <c r="F13" s="58">
        <f t="shared" si="1"/>
        <v>0</v>
      </c>
      <c r="G13" s="58">
        <f t="shared" si="1"/>
        <v>-6.1313141201960353E-2</v>
      </c>
      <c r="H13" s="58">
        <f t="shared" si="1"/>
        <v>0</v>
      </c>
      <c r="I13" s="58">
        <f t="shared" si="1"/>
        <v>0</v>
      </c>
      <c r="J13" s="58">
        <f t="shared" si="1"/>
        <v>0</v>
      </c>
      <c r="K13" s="58">
        <f t="shared" si="1"/>
        <v>0</v>
      </c>
      <c r="L13" s="58">
        <f t="shared" si="1"/>
        <v>0</v>
      </c>
      <c r="M13" s="58">
        <f t="shared" si="1"/>
        <v>-6.1313141201960353E-2</v>
      </c>
    </row>
    <row r="14" spans="1:33" x14ac:dyDescent="0.2">
      <c r="A14" s="14" t="s">
        <v>972</v>
      </c>
      <c r="B14" s="58">
        <f t="shared" ref="B14:M14" si="2">IF($M$10&lt;&gt;0,(B$9-B$8)/$M$10,0)</f>
        <v>0</v>
      </c>
      <c r="C14" s="58">
        <f t="shared" si="2"/>
        <v>0</v>
      </c>
      <c r="D14" s="58">
        <f t="shared" si="2"/>
        <v>0</v>
      </c>
      <c r="E14" s="58">
        <f t="shared" si="2"/>
        <v>0</v>
      </c>
      <c r="F14" s="58">
        <f t="shared" si="2"/>
        <v>0</v>
      </c>
      <c r="G14" s="58">
        <f t="shared" si="2"/>
        <v>-6.8088700626621826E-2</v>
      </c>
      <c r="H14" s="58">
        <f t="shared" si="2"/>
        <v>0</v>
      </c>
      <c r="I14" s="58">
        <f t="shared" si="2"/>
        <v>0</v>
      </c>
      <c r="J14" s="58">
        <f t="shared" si="2"/>
        <v>0</v>
      </c>
      <c r="K14" s="58">
        <f t="shared" si="2"/>
        <v>0</v>
      </c>
      <c r="L14" s="58">
        <f t="shared" si="2"/>
        <v>0</v>
      </c>
      <c r="M14" s="58">
        <f t="shared" si="2"/>
        <v>-6.8088700626621826E-2</v>
      </c>
    </row>
    <row r="15" spans="1:33" x14ac:dyDescent="0.2">
      <c r="A15" s="14" t="s">
        <v>973</v>
      </c>
      <c r="B15" s="58">
        <f t="shared" ref="B15:M15" si="3">IF($M$8&lt;&gt;0,(B$9-B$8)/$M$8,0)</f>
        <v>0</v>
      </c>
      <c r="C15" s="58">
        <f t="shared" si="3"/>
        <v>0</v>
      </c>
      <c r="D15" s="58">
        <f t="shared" si="3"/>
        <v>0</v>
      </c>
      <c r="E15" s="58">
        <f t="shared" si="3"/>
        <v>0</v>
      </c>
      <c r="F15" s="58">
        <f t="shared" si="3"/>
        <v>0</v>
      </c>
      <c r="G15" s="58">
        <f t="shared" si="3"/>
        <v>-6.8088700626621826E-2</v>
      </c>
      <c r="H15" s="58">
        <f t="shared" si="3"/>
        <v>0</v>
      </c>
      <c r="I15" s="58">
        <f t="shared" si="3"/>
        <v>0</v>
      </c>
      <c r="J15" s="58">
        <f t="shared" si="3"/>
        <v>0</v>
      </c>
      <c r="K15" s="58">
        <f t="shared" si="3"/>
        <v>0</v>
      </c>
      <c r="L15" s="58">
        <f t="shared" si="3"/>
        <v>0</v>
      </c>
      <c r="M15" s="58">
        <f t="shared" si="3"/>
        <v>-6.8088700626621826E-2</v>
      </c>
    </row>
  </sheetData>
  <dataValidations count="4">
    <dataValidation type="list" allowBlank="1" showInputMessage="1" showErrorMessage="1" sqref="A2 G2" xr:uid="{64566B96-9217-4C23-A8D5-386C8C5100EB}">
      <formula1>AA1:AA5</formula1>
    </dataValidation>
    <dataValidation type="list" allowBlank="1" showInputMessage="1" showErrorMessage="1" sqref="B2 C2" xr:uid="{62A351A1-3141-4112-9E30-3DCDE4382DB0}">
      <formula1>AB1:AB4</formula1>
    </dataValidation>
    <dataValidation type="list" allowBlank="1" showInputMessage="1" showErrorMessage="1" sqref="D2" xr:uid="{43401BC5-42B5-4F2E-83C4-7D79C15A4186}">
      <formula1>AD1:AD10</formula1>
    </dataValidation>
    <dataValidation type="list" allowBlank="1" showInputMessage="1" showErrorMessage="1" sqref="E2 F2" xr:uid="{EA23F00B-5036-41DD-AEB1-513A8E4DB979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9B288-52BD-4BF7-82DE-80B6D93B0484}">
  <dimension ref="B1:U15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51" t="s">
        <v>585</v>
      </c>
      <c r="C1" s="51" t="s">
        <v>586</v>
      </c>
      <c r="D1" s="51" t="s">
        <v>587</v>
      </c>
      <c r="E1" s="51" t="s">
        <v>2</v>
      </c>
      <c r="F1" s="51" t="s">
        <v>588</v>
      </c>
      <c r="G1" s="51" t="s">
        <v>494</v>
      </c>
      <c r="H1" s="51" t="s">
        <v>3</v>
      </c>
      <c r="I1" s="51" t="s">
        <v>589</v>
      </c>
      <c r="J1" s="51" t="s">
        <v>5</v>
      </c>
      <c r="K1" s="51" t="s">
        <v>1</v>
      </c>
      <c r="L1" s="51" t="s">
        <v>590</v>
      </c>
      <c r="M1" s="51" t="s">
        <v>591</v>
      </c>
      <c r="N1" s="51" t="s">
        <v>592</v>
      </c>
      <c r="O1" s="51" t="s">
        <v>593</v>
      </c>
      <c r="P1" s="51" t="s">
        <v>594</v>
      </c>
      <c r="Q1" s="51" t="s">
        <v>595</v>
      </c>
      <c r="R1" s="51" t="s">
        <v>596</v>
      </c>
      <c r="S1" s="51" t="s">
        <v>597</v>
      </c>
      <c r="T1" s="51" t="s">
        <v>598</v>
      </c>
      <c r="U1" s="51" t="s">
        <v>599</v>
      </c>
    </row>
    <row r="2" spans="2:21" x14ac:dyDescent="0.25">
      <c r="B2" s="50" t="s">
        <v>566</v>
      </c>
      <c r="C2" s="50">
        <v>8364</v>
      </c>
      <c r="D2" s="50">
        <v>5363</v>
      </c>
      <c r="E2" s="50" t="s">
        <v>567</v>
      </c>
      <c r="F2" s="50">
        <v>1</v>
      </c>
      <c r="G2" s="50" t="s">
        <v>568</v>
      </c>
      <c r="H2" s="50" t="s">
        <v>47</v>
      </c>
      <c r="I2" s="50" t="s">
        <v>48</v>
      </c>
      <c r="J2" s="50" t="s">
        <v>569</v>
      </c>
      <c r="K2" s="50" t="s">
        <v>35</v>
      </c>
      <c r="L2" s="50">
        <v>0.15</v>
      </c>
      <c r="M2" s="50">
        <v>0.12</v>
      </c>
      <c r="N2" s="50">
        <v>0.09</v>
      </c>
      <c r="O2" s="50">
        <v>0.06</v>
      </c>
      <c r="P2" s="50">
        <v>0.03</v>
      </c>
      <c r="Q2" s="50">
        <v>0</v>
      </c>
      <c r="R2" s="50"/>
      <c r="S2" s="50"/>
      <c r="T2" s="50"/>
      <c r="U2" s="50">
        <v>3</v>
      </c>
    </row>
    <row r="3" spans="2:21" x14ac:dyDescent="0.25">
      <c r="B3" s="50" t="s">
        <v>570</v>
      </c>
      <c r="C3" s="50">
        <v>8365</v>
      </c>
      <c r="D3" s="50">
        <v>5363</v>
      </c>
      <c r="E3" s="50" t="s">
        <v>23</v>
      </c>
      <c r="F3" s="50">
        <v>1</v>
      </c>
      <c r="G3" s="50" t="s">
        <v>568</v>
      </c>
      <c r="H3" s="50" t="s">
        <v>41</v>
      </c>
      <c r="I3" s="50" t="s">
        <v>25</v>
      </c>
      <c r="J3" s="50" t="s">
        <v>41</v>
      </c>
      <c r="K3" s="50" t="s">
        <v>40</v>
      </c>
      <c r="L3" s="50">
        <v>0.3</v>
      </c>
      <c r="M3" s="50">
        <v>0.24</v>
      </c>
      <c r="N3" s="50">
        <v>0.18</v>
      </c>
      <c r="O3" s="50">
        <v>0.12</v>
      </c>
      <c r="P3" s="50">
        <v>0.06</v>
      </c>
      <c r="Q3" s="50">
        <v>0</v>
      </c>
      <c r="R3" s="50"/>
      <c r="S3" s="50"/>
      <c r="T3" s="50"/>
      <c r="U3" s="50">
        <v>3</v>
      </c>
    </row>
    <row r="4" spans="2:21" x14ac:dyDescent="0.25">
      <c r="B4" s="50" t="s">
        <v>571</v>
      </c>
      <c r="C4" s="50">
        <v>8366</v>
      </c>
      <c r="D4" s="50">
        <v>5363</v>
      </c>
      <c r="E4" s="50" t="s">
        <v>85</v>
      </c>
      <c r="F4" s="50">
        <v>1</v>
      </c>
      <c r="G4" s="50" t="s">
        <v>568</v>
      </c>
      <c r="H4" s="50" t="s">
        <v>41</v>
      </c>
      <c r="I4" s="50" t="s">
        <v>25</v>
      </c>
      <c r="J4" s="50" t="s">
        <v>41</v>
      </c>
      <c r="K4" s="50" t="s">
        <v>40</v>
      </c>
      <c r="L4" s="50">
        <v>0.3</v>
      </c>
      <c r="M4" s="50">
        <v>0.24</v>
      </c>
      <c r="N4" s="50">
        <v>0.18</v>
      </c>
      <c r="O4" s="50">
        <v>0.12</v>
      </c>
      <c r="P4" s="50">
        <v>0.06</v>
      </c>
      <c r="Q4" s="50">
        <v>0</v>
      </c>
      <c r="R4" s="50"/>
      <c r="S4" s="50"/>
      <c r="T4" s="50"/>
      <c r="U4" s="50">
        <v>3</v>
      </c>
    </row>
    <row r="5" spans="2:21" x14ac:dyDescent="0.25">
      <c r="B5" s="50" t="s">
        <v>572</v>
      </c>
      <c r="C5" s="50">
        <v>8367</v>
      </c>
      <c r="D5" s="50">
        <v>5363</v>
      </c>
      <c r="E5" s="50" t="s">
        <v>23</v>
      </c>
      <c r="F5" s="50">
        <v>1</v>
      </c>
      <c r="G5" s="50" t="s">
        <v>568</v>
      </c>
      <c r="H5" s="50" t="s">
        <v>41</v>
      </c>
      <c r="I5" s="50" t="s">
        <v>88</v>
      </c>
      <c r="J5" s="50" t="s">
        <v>569</v>
      </c>
      <c r="K5" s="50" t="s">
        <v>40</v>
      </c>
      <c r="L5" s="50">
        <v>0.3</v>
      </c>
      <c r="M5" s="50">
        <v>0.24</v>
      </c>
      <c r="N5" s="50">
        <v>0.18</v>
      </c>
      <c r="O5" s="50">
        <v>0.12</v>
      </c>
      <c r="P5" s="50">
        <v>0.06</v>
      </c>
      <c r="Q5" s="50">
        <v>0</v>
      </c>
      <c r="R5" s="50"/>
      <c r="S5" s="50"/>
      <c r="T5" s="50"/>
      <c r="U5" s="50">
        <v>3</v>
      </c>
    </row>
    <row r="6" spans="2:21" x14ac:dyDescent="0.25">
      <c r="B6" s="50" t="s">
        <v>573</v>
      </c>
      <c r="C6" s="50">
        <v>8368</v>
      </c>
      <c r="D6" s="50">
        <v>5363</v>
      </c>
      <c r="E6" s="50" t="s">
        <v>574</v>
      </c>
      <c r="F6" s="50">
        <v>1</v>
      </c>
      <c r="G6" s="50" t="s">
        <v>568</v>
      </c>
      <c r="H6" s="50" t="s">
        <v>41</v>
      </c>
      <c r="I6" s="50" t="s">
        <v>88</v>
      </c>
      <c r="J6" s="50" t="s">
        <v>569</v>
      </c>
      <c r="K6" s="50" t="s">
        <v>40</v>
      </c>
      <c r="L6" s="50">
        <v>0.3</v>
      </c>
      <c r="M6" s="50">
        <v>0.24</v>
      </c>
      <c r="N6" s="50">
        <v>0.18</v>
      </c>
      <c r="O6" s="50">
        <v>0.12</v>
      </c>
      <c r="P6" s="50">
        <v>0.06</v>
      </c>
      <c r="Q6" s="50">
        <v>0</v>
      </c>
      <c r="R6" s="50"/>
      <c r="S6" s="50"/>
      <c r="T6" s="50"/>
      <c r="U6" s="50">
        <v>3</v>
      </c>
    </row>
    <row r="7" spans="2:21" x14ac:dyDescent="0.25">
      <c r="B7" s="50" t="s">
        <v>575</v>
      </c>
      <c r="C7" s="50">
        <v>8369</v>
      </c>
      <c r="D7" s="50">
        <v>5363</v>
      </c>
      <c r="E7" s="50" t="s">
        <v>23</v>
      </c>
      <c r="F7" s="50">
        <v>1</v>
      </c>
      <c r="G7" s="50" t="s">
        <v>568</v>
      </c>
      <c r="H7" s="50" t="s">
        <v>41</v>
      </c>
      <c r="I7" s="50" t="s">
        <v>89</v>
      </c>
      <c r="J7" s="50" t="s">
        <v>569</v>
      </c>
      <c r="K7" s="50" t="s">
        <v>40</v>
      </c>
      <c r="L7" s="50">
        <v>0.4</v>
      </c>
      <c r="M7" s="50">
        <v>0.32</v>
      </c>
      <c r="N7" s="50">
        <v>0.24</v>
      </c>
      <c r="O7" s="50">
        <v>0.16</v>
      </c>
      <c r="P7" s="50">
        <v>0.08</v>
      </c>
      <c r="Q7" s="50">
        <v>0</v>
      </c>
      <c r="R7" s="50"/>
      <c r="S7" s="50"/>
      <c r="T7" s="50"/>
      <c r="U7" s="50">
        <v>3</v>
      </c>
    </row>
    <row r="8" spans="2:21" x14ac:dyDescent="0.25">
      <c r="B8" s="50" t="s">
        <v>576</v>
      </c>
      <c r="C8" s="50">
        <v>8370</v>
      </c>
      <c r="D8" s="50">
        <v>5363</v>
      </c>
      <c r="E8" s="50" t="s">
        <v>574</v>
      </c>
      <c r="F8" s="50">
        <v>1</v>
      </c>
      <c r="G8" s="50" t="s">
        <v>568</v>
      </c>
      <c r="H8" s="50" t="s">
        <v>41</v>
      </c>
      <c r="I8" s="50" t="s">
        <v>89</v>
      </c>
      <c r="J8" s="50" t="s">
        <v>569</v>
      </c>
      <c r="K8" s="50" t="s">
        <v>40</v>
      </c>
      <c r="L8" s="50">
        <v>0.4</v>
      </c>
      <c r="M8" s="50">
        <v>0.32</v>
      </c>
      <c r="N8" s="50">
        <v>0.24</v>
      </c>
      <c r="O8" s="50">
        <v>0.16</v>
      </c>
      <c r="P8" s="50">
        <v>0.08</v>
      </c>
      <c r="Q8" s="50">
        <v>0</v>
      </c>
      <c r="R8" s="50"/>
      <c r="S8" s="50"/>
      <c r="T8" s="50"/>
      <c r="U8" s="50">
        <v>3</v>
      </c>
    </row>
    <row r="9" spans="2:21" x14ac:dyDescent="0.25">
      <c r="B9" s="50" t="s">
        <v>577</v>
      </c>
      <c r="C9" s="50">
        <v>8371</v>
      </c>
      <c r="D9" s="50">
        <v>5363</v>
      </c>
      <c r="E9" s="50" t="s">
        <v>23</v>
      </c>
      <c r="F9" s="50">
        <v>1</v>
      </c>
      <c r="G9" s="50" t="s">
        <v>568</v>
      </c>
      <c r="H9" s="50" t="s">
        <v>47</v>
      </c>
      <c r="I9" s="50" t="s">
        <v>48</v>
      </c>
      <c r="J9" s="50" t="s">
        <v>569</v>
      </c>
      <c r="K9" s="50" t="s">
        <v>33</v>
      </c>
      <c r="L9" s="50">
        <v>0.15</v>
      </c>
      <c r="M9" s="50">
        <v>0.12</v>
      </c>
      <c r="N9" s="50">
        <v>0.09</v>
      </c>
      <c r="O9" s="50">
        <v>0.06</v>
      </c>
      <c r="P9" s="50">
        <v>0.03</v>
      </c>
      <c r="Q9" s="50">
        <v>0</v>
      </c>
      <c r="R9" s="50"/>
      <c r="S9" s="50"/>
      <c r="T9" s="50"/>
      <c r="U9" s="50">
        <v>3</v>
      </c>
    </row>
    <row r="10" spans="2:21" x14ac:dyDescent="0.25">
      <c r="B10" s="50" t="s">
        <v>578</v>
      </c>
      <c r="C10" s="50">
        <v>8372</v>
      </c>
      <c r="D10" s="50">
        <v>5363</v>
      </c>
      <c r="E10" s="50" t="s">
        <v>85</v>
      </c>
      <c r="F10" s="50">
        <v>1</v>
      </c>
      <c r="G10" s="50" t="s">
        <v>568</v>
      </c>
      <c r="H10" s="50" t="s">
        <v>47</v>
      </c>
      <c r="I10" s="50" t="s">
        <v>48</v>
      </c>
      <c r="J10" s="50" t="s">
        <v>569</v>
      </c>
      <c r="K10" s="50" t="s">
        <v>33</v>
      </c>
      <c r="L10" s="50">
        <v>0.15</v>
      </c>
      <c r="M10" s="50">
        <v>0.12</v>
      </c>
      <c r="N10" s="50">
        <v>0.09</v>
      </c>
      <c r="O10" s="50">
        <v>0.06</v>
      </c>
      <c r="P10" s="50">
        <v>0.03</v>
      </c>
      <c r="Q10" s="50">
        <v>0</v>
      </c>
      <c r="R10" s="50"/>
      <c r="S10" s="50"/>
      <c r="T10" s="50"/>
      <c r="U10" s="50">
        <v>3</v>
      </c>
    </row>
    <row r="11" spans="2:21" x14ac:dyDescent="0.25">
      <c r="B11" s="50" t="s">
        <v>579</v>
      </c>
      <c r="C11" s="50">
        <v>8359</v>
      </c>
      <c r="D11" s="50">
        <v>5363</v>
      </c>
      <c r="E11" s="50" t="s">
        <v>73</v>
      </c>
      <c r="F11" s="50">
        <v>1</v>
      </c>
      <c r="G11" s="50" t="s">
        <v>568</v>
      </c>
      <c r="H11" s="50" t="s">
        <v>41</v>
      </c>
      <c r="I11" s="50" t="s">
        <v>25</v>
      </c>
      <c r="J11" s="50" t="s">
        <v>580</v>
      </c>
      <c r="K11" s="50" t="s">
        <v>35</v>
      </c>
      <c r="L11" s="50">
        <v>0.1</v>
      </c>
      <c r="M11" s="50">
        <v>0.08</v>
      </c>
      <c r="N11" s="50">
        <v>0.06</v>
      </c>
      <c r="O11" s="50">
        <v>0.04</v>
      </c>
      <c r="P11" s="50">
        <v>0.02</v>
      </c>
      <c r="Q11" s="50">
        <v>0</v>
      </c>
      <c r="R11" s="50"/>
      <c r="S11" s="50"/>
      <c r="T11" s="50"/>
      <c r="U11" s="50">
        <v>3</v>
      </c>
    </row>
    <row r="12" spans="2:21" x14ac:dyDescent="0.25">
      <c r="B12" s="50" t="s">
        <v>581</v>
      </c>
      <c r="C12" s="50">
        <v>8360</v>
      </c>
      <c r="D12" s="50">
        <v>5363</v>
      </c>
      <c r="E12" s="50" t="s">
        <v>36</v>
      </c>
      <c r="F12" s="50">
        <v>1</v>
      </c>
      <c r="G12" s="50" t="s">
        <v>568</v>
      </c>
      <c r="H12" s="50" t="s">
        <v>41</v>
      </c>
      <c r="I12" s="50" t="s">
        <v>25</v>
      </c>
      <c r="J12" s="50" t="s">
        <v>580</v>
      </c>
      <c r="K12" s="50" t="s">
        <v>35</v>
      </c>
      <c r="L12" s="50">
        <v>0.1</v>
      </c>
      <c r="M12" s="50">
        <v>0.08</v>
      </c>
      <c r="N12" s="50">
        <v>0.06</v>
      </c>
      <c r="O12" s="50">
        <v>0.04</v>
      </c>
      <c r="P12" s="50">
        <v>0.02</v>
      </c>
      <c r="Q12" s="50">
        <v>0</v>
      </c>
      <c r="R12" s="50"/>
      <c r="S12" s="50"/>
      <c r="T12" s="50"/>
      <c r="U12" s="50">
        <v>3</v>
      </c>
    </row>
    <row r="13" spans="2:21" x14ac:dyDescent="0.25">
      <c r="B13" s="50" t="s">
        <v>582</v>
      </c>
      <c r="C13" s="50">
        <v>8361</v>
      </c>
      <c r="D13" s="50">
        <v>5363</v>
      </c>
      <c r="E13" s="50" t="s">
        <v>23</v>
      </c>
      <c r="F13" s="50">
        <v>1</v>
      </c>
      <c r="G13" s="50" t="s">
        <v>568</v>
      </c>
      <c r="H13" s="50" t="s">
        <v>41</v>
      </c>
      <c r="I13" s="50" t="s">
        <v>25</v>
      </c>
      <c r="J13" s="50" t="s">
        <v>580</v>
      </c>
      <c r="K13" s="50" t="s">
        <v>35</v>
      </c>
      <c r="L13" s="50">
        <v>0.1</v>
      </c>
      <c r="M13" s="50">
        <v>0.08</v>
      </c>
      <c r="N13" s="50">
        <v>0.06</v>
      </c>
      <c r="O13" s="50">
        <v>0.04</v>
      </c>
      <c r="P13" s="50">
        <v>0.02</v>
      </c>
      <c r="Q13" s="50">
        <v>0</v>
      </c>
      <c r="R13" s="50"/>
      <c r="S13" s="50"/>
      <c r="T13" s="50"/>
      <c r="U13" s="50">
        <v>3</v>
      </c>
    </row>
    <row r="14" spans="2:21" x14ac:dyDescent="0.25">
      <c r="B14" s="50" t="s">
        <v>583</v>
      </c>
      <c r="C14" s="50">
        <v>8362</v>
      </c>
      <c r="D14" s="50">
        <v>5363</v>
      </c>
      <c r="E14" s="50" t="s">
        <v>73</v>
      </c>
      <c r="F14" s="50">
        <v>1</v>
      </c>
      <c r="G14" s="50" t="s">
        <v>568</v>
      </c>
      <c r="H14" s="50" t="s">
        <v>47</v>
      </c>
      <c r="I14" s="50" t="s">
        <v>48</v>
      </c>
      <c r="J14" s="50" t="s">
        <v>569</v>
      </c>
      <c r="K14" s="50" t="s">
        <v>35</v>
      </c>
      <c r="L14" s="50">
        <v>0.15</v>
      </c>
      <c r="M14" s="50">
        <v>0.12</v>
      </c>
      <c r="N14" s="50">
        <v>0.09</v>
      </c>
      <c r="O14" s="50">
        <v>0.06</v>
      </c>
      <c r="P14" s="50">
        <v>0.03</v>
      </c>
      <c r="Q14" s="50">
        <v>0</v>
      </c>
      <c r="R14" s="50"/>
      <c r="S14" s="50"/>
      <c r="T14" s="50"/>
      <c r="U14" s="50">
        <v>3</v>
      </c>
    </row>
    <row r="15" spans="2:21" x14ac:dyDescent="0.25">
      <c r="B15" s="50" t="s">
        <v>584</v>
      </c>
      <c r="C15" s="50">
        <v>8363</v>
      </c>
      <c r="D15" s="50">
        <v>5363</v>
      </c>
      <c r="E15" s="50" t="s">
        <v>36</v>
      </c>
      <c r="F15" s="50">
        <v>1</v>
      </c>
      <c r="G15" s="50" t="s">
        <v>568</v>
      </c>
      <c r="H15" s="50" t="s">
        <v>47</v>
      </c>
      <c r="I15" s="50" t="s">
        <v>48</v>
      </c>
      <c r="J15" s="50" t="s">
        <v>569</v>
      </c>
      <c r="K15" s="50" t="s">
        <v>35</v>
      </c>
      <c r="L15" s="50">
        <v>0.15</v>
      </c>
      <c r="M15" s="50">
        <v>0.12</v>
      </c>
      <c r="N15" s="50">
        <v>0.09</v>
      </c>
      <c r="O15" s="50">
        <v>0.06</v>
      </c>
      <c r="P15" s="50">
        <v>0.03</v>
      </c>
      <c r="Q15" s="50">
        <v>0</v>
      </c>
      <c r="R15" s="50"/>
      <c r="S15" s="50"/>
      <c r="T15" s="50"/>
      <c r="U15" s="50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862B-50D9-4972-A498-5725E9992D7C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1" t="s">
        <v>988</v>
      </c>
      <c r="B1" s="71" t="s">
        <v>22</v>
      </c>
      <c r="C1" s="71" t="s">
        <v>987</v>
      </c>
      <c r="D1" s="71" t="s">
        <v>986</v>
      </c>
      <c r="E1" s="71" t="s">
        <v>33</v>
      </c>
      <c r="F1" s="71" t="s">
        <v>985</v>
      </c>
      <c r="G1" s="71" t="s">
        <v>984</v>
      </c>
      <c r="H1" s="71" t="s">
        <v>487</v>
      </c>
      <c r="I1" s="71" t="s">
        <v>35</v>
      </c>
      <c r="J1" s="71" t="s">
        <v>486</v>
      </c>
      <c r="K1" s="71" t="s">
        <v>485</v>
      </c>
      <c r="L1" s="71" t="s">
        <v>484</v>
      </c>
    </row>
    <row r="2" spans="1:12" x14ac:dyDescent="0.2">
      <c r="A2" s="67" t="s">
        <v>983</v>
      </c>
      <c r="B2" s="73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977.14154633801718</v>
      </c>
      <c r="C2" s="73">
        <f t="shared" si="0"/>
        <v>918.55490116143346</v>
      </c>
      <c r="D2" s="73">
        <f t="shared" si="0"/>
        <v>898.88652742358056</v>
      </c>
      <c r="E2" s="73">
        <f t="shared" si="0"/>
        <v>977.14154633801718</v>
      </c>
      <c r="F2" s="73">
        <f t="shared" si="0"/>
        <v>537.32323147666546</v>
      </c>
      <c r="G2" s="73">
        <f t="shared" si="0"/>
        <v>586.28492780281022</v>
      </c>
      <c r="H2" s="73">
        <f t="shared" si="0"/>
        <v>0</v>
      </c>
      <c r="I2" s="73">
        <f t="shared" si="0"/>
        <v>1194.5509653490269</v>
      </c>
      <c r="J2" s="73">
        <f t="shared" si="0"/>
        <v>0</v>
      </c>
      <c r="K2" s="73">
        <f t="shared" si="0"/>
        <v>0</v>
      </c>
      <c r="L2" s="73">
        <f t="shared" si="0"/>
        <v>0</v>
      </c>
    </row>
    <row r="3" spans="1:12" ht="12" thickBot="1" x14ac:dyDescent="0.25">
      <c r="A3" s="65" t="s">
        <v>982</v>
      </c>
      <c r="B3" s="72">
        <v>23.35</v>
      </c>
      <c r="C3" s="72">
        <v>21.95</v>
      </c>
      <c r="D3" s="72">
        <v>21.48</v>
      </c>
      <c r="E3" s="72">
        <v>23.35</v>
      </c>
      <c r="F3" s="72">
        <v>12.84</v>
      </c>
      <c r="G3" s="72">
        <v>14.01</v>
      </c>
      <c r="H3" s="72">
        <v>0</v>
      </c>
      <c r="I3" s="72">
        <f>'TUSD BE'!$AC$6</f>
        <v>28.545265673568025</v>
      </c>
      <c r="J3" s="72">
        <v>0</v>
      </c>
      <c r="K3" s="72">
        <v>0</v>
      </c>
      <c r="L3" s="72">
        <v>0</v>
      </c>
    </row>
    <row r="5" spans="1:12" ht="12" thickBot="1" x14ac:dyDescent="0.25">
      <c r="A5" s="71" t="s">
        <v>981</v>
      </c>
      <c r="B5" s="71" t="s">
        <v>980</v>
      </c>
    </row>
    <row r="6" spans="1:12" x14ac:dyDescent="0.2">
      <c r="A6" s="67" t="s">
        <v>979</v>
      </c>
      <c r="B6" s="70">
        <v>9.9699999999999997E-2</v>
      </c>
    </row>
    <row r="7" spans="1:12" x14ac:dyDescent="0.2">
      <c r="A7" s="69" t="s">
        <v>978</v>
      </c>
      <c r="B7" s="68">
        <v>0</v>
      </c>
    </row>
    <row r="8" spans="1:12" x14ac:dyDescent="0.2">
      <c r="A8" s="67" t="s">
        <v>977</v>
      </c>
      <c r="B8" s="66">
        <v>8257219</v>
      </c>
    </row>
    <row r="9" spans="1:12" x14ac:dyDescent="0.2">
      <c r="A9" s="69" t="s">
        <v>976</v>
      </c>
      <c r="B9" s="68">
        <v>0.04</v>
      </c>
    </row>
    <row r="10" spans="1:12" x14ac:dyDescent="0.2">
      <c r="A10" s="67" t="s">
        <v>975</v>
      </c>
      <c r="B10" s="66">
        <v>5092200</v>
      </c>
    </row>
    <row r="11" spans="1:12" ht="12" thickBot="1" x14ac:dyDescent="0.25">
      <c r="A11" s="65" t="s">
        <v>974</v>
      </c>
      <c r="B11" s="64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2022-09-12T17:53:46Z</dcterms:created>
  <dcterms:modified xsi:type="dcterms:W3CDTF">2022-09-15T14:39:21Z</dcterms:modified>
</cp:coreProperties>
</file>